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315" windowHeight="7995"/>
  </bookViews>
  <sheets>
    <sheet name="2017 2ème T equipe 1" sheetId="3" r:id="rId1"/>
    <sheet name="résult 1er T equipe 1 " sheetId="1" r:id="rId2"/>
    <sheet name="résult 1er T equipe 2 " sheetId="2" r:id="rId3"/>
  </sheets>
  <definedNames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hidden="1">#REF!</definedName>
    <definedName name="abc" hidden="1">0</definedName>
    <definedName name="asc" localSheetId="0" hidden="1">#REF!</definedName>
    <definedName name="asc" localSheetId="1" hidden="1">#REF!</definedName>
    <definedName name="asc" localSheetId="2" hidden="1">#REF!</definedName>
    <definedName name="asc" hidden="1">#REF!</definedName>
    <definedName name="aze" hidden="1">0</definedName>
    <definedName name="azert" localSheetId="0" hidden="1">#REF!</definedName>
    <definedName name="azert" localSheetId="1" hidden="1">#REF!</definedName>
    <definedName name="azert" localSheetId="2" hidden="1">#REF!</definedName>
    <definedName name="azert" hidden="1">#REF!</definedName>
    <definedName name="AZERTY" localSheetId="0" hidden="1">#REF!</definedName>
    <definedName name="AZERTY" localSheetId="1" hidden="1">#REF!</definedName>
    <definedName name="AZERTY" localSheetId="2" hidden="1">#REF!</definedName>
    <definedName name="AZERTY" hidden="1">#REF!</definedName>
    <definedName name="bnh" localSheetId="0" hidden="1">#REF!</definedName>
    <definedName name="bnh" localSheetId="1" hidden="1">#REF!</definedName>
    <definedName name="bnh" localSheetId="2" hidden="1">#REF!</definedName>
    <definedName name="bnh" hidden="1">#REF!</definedName>
    <definedName name="bnhju" localSheetId="0" hidden="1">#REF!</definedName>
    <definedName name="bnhju" localSheetId="1" hidden="1">#REF!</definedName>
    <definedName name="bnhju" localSheetId="2" hidden="1">#REF!</definedName>
    <definedName name="bnhju" hidden="1">#REF!</definedName>
    <definedName name="h" hidden="1">0</definedName>
    <definedName name="m" localSheetId="0" hidden="1">#REF!</definedName>
    <definedName name="m" localSheetId="1" hidden="1">#REF!</definedName>
    <definedName name="m" localSheetId="2" hidden="1">#REF!</definedName>
    <definedName name="m" hidden="1">#REF!</definedName>
    <definedName name="mpoi" localSheetId="0" hidden="1">#REF!</definedName>
    <definedName name="mpoi" localSheetId="1" hidden="1">#REF!</definedName>
    <definedName name="mpoi" localSheetId="2" hidden="1">#REF!</definedName>
    <definedName name="mpoi" hidden="1">#REF!</definedName>
    <definedName name="NBV" localSheetId="0" hidden="1">#REF!</definedName>
    <definedName name="NBV" localSheetId="1" hidden="1">#REF!</definedName>
    <definedName name="NBV" localSheetId="2" hidden="1">#REF!</definedName>
    <definedName name="NBV" hidden="1">#REF!</definedName>
    <definedName name="NBVCX" localSheetId="0" hidden="1">#REF!</definedName>
    <definedName name="NBVCX" localSheetId="1" hidden="1">#REF!</definedName>
    <definedName name="NBVCX" localSheetId="2" hidden="1">#REF!</definedName>
    <definedName name="NBVCX" hidden="1">#REF!</definedName>
    <definedName name="nhy" localSheetId="0" hidden="1">#REF!</definedName>
    <definedName name="nhy" localSheetId="1" hidden="1">#REF!</definedName>
    <definedName name="nhy" localSheetId="2" hidden="1">#REF!</definedName>
    <definedName name="nhy" hidden="1">#REF!</definedName>
    <definedName name="nouveau" hidden="1">255</definedName>
    <definedName name="pmolik" localSheetId="0" hidden="1">#REF!</definedName>
    <definedName name="pmolik" localSheetId="1" hidden="1">#REF!</definedName>
    <definedName name="pmolik" localSheetId="2" hidden="1">#REF!</definedName>
    <definedName name="pmolik" hidden="1">#REF!</definedName>
    <definedName name="po" localSheetId="0" hidden="1">#REF!</definedName>
    <definedName name="po" localSheetId="1" hidden="1">#REF!</definedName>
    <definedName name="po" localSheetId="2" hidden="1">#REF!</definedName>
    <definedName name="po" hidden="1">#REF!</definedName>
    <definedName name="pol" localSheetId="0" hidden="1">#REF!</definedName>
    <definedName name="pol" localSheetId="1" hidden="1">#REF!</definedName>
    <definedName name="pol" localSheetId="2" hidden="1">#REF!</definedName>
    <definedName name="pol" hidden="1">#REF!</definedName>
    <definedName name="qsd" localSheetId="0" hidden="1">#REF!</definedName>
    <definedName name="qsd" localSheetId="1" hidden="1">#REF!</definedName>
    <definedName name="qsd" localSheetId="2" hidden="1">#REF!</definedName>
    <definedName name="qsd" hidden="1">#REF!</definedName>
    <definedName name="qsdfg" localSheetId="0" hidden="1">#REF!</definedName>
    <definedName name="qsdfg" localSheetId="1" hidden="1">#REF!</definedName>
    <definedName name="qsdfg" localSheetId="2" hidden="1">#REF!</definedName>
    <definedName name="qsdfg" hidden="1">#REF!</definedName>
    <definedName name="saze" localSheetId="0" hidden="1">#REF!</definedName>
    <definedName name="saze" localSheetId="1" hidden="1">#REF!</definedName>
    <definedName name="saze" localSheetId="2" hidden="1">#REF!</definedName>
    <definedName name="saze" hidden="1">#REF!</definedName>
    <definedName name="sdf" localSheetId="0" hidden="1">#REF!</definedName>
    <definedName name="sdf" localSheetId="1" hidden="1">#REF!</definedName>
    <definedName name="sdf" localSheetId="2" hidden="1">#REF!</definedName>
    <definedName name="sdf" hidden="1">#REF!</definedName>
    <definedName name="seftgyhu" localSheetId="0" hidden="1">#REF!</definedName>
    <definedName name="seftgyhu" localSheetId="1" hidden="1">#REF!</definedName>
    <definedName name="seftgyhu" localSheetId="2" hidden="1">#REF!</definedName>
    <definedName name="seftgyhu" hidden="1">#REF!</definedName>
    <definedName name="wxcvbn" localSheetId="0" hidden="1">#REF!</definedName>
    <definedName name="wxcvbn" localSheetId="1" hidden="1">#REF!</definedName>
    <definedName name="wxcvbn" localSheetId="2" hidden="1">#REF!</definedName>
    <definedName name="wxcvbn" hidden="1">#REF!</definedName>
  </definedNames>
  <calcPr calcId="171026" iterateDelta="1E-4"/>
</workbook>
</file>

<file path=xl/calcChain.xml><?xml version="1.0" encoding="utf-8"?>
<calcChain xmlns="http://schemas.openxmlformats.org/spreadsheetml/2006/main">
  <c r="G23" i="3" l="1"/>
  <c r="D23" i="3"/>
  <c r="Q22" i="3"/>
  <c r="N22" i="3"/>
  <c r="G22" i="3"/>
  <c r="D22" i="3"/>
  <c r="Q21" i="3"/>
  <c r="N21" i="3"/>
  <c r="G21" i="3"/>
  <c r="D21" i="3"/>
  <c r="Q20" i="3"/>
  <c r="N20" i="3"/>
  <c r="G20" i="3"/>
  <c r="D20" i="3"/>
  <c r="Q19" i="3"/>
  <c r="N19" i="3"/>
  <c r="G19" i="3"/>
  <c r="D19" i="3"/>
  <c r="Q18" i="3"/>
  <c r="N18" i="3"/>
  <c r="G18" i="3"/>
  <c r="D18" i="3"/>
  <c r="Q17" i="3"/>
  <c r="N17" i="3"/>
  <c r="G17" i="3"/>
  <c r="D17" i="3"/>
  <c r="Q16" i="3"/>
  <c r="N16" i="3"/>
  <c r="G16" i="3"/>
  <c r="D16" i="3"/>
  <c r="Q15" i="3"/>
  <c r="N15" i="3"/>
  <c r="G15" i="3"/>
  <c r="D15" i="3"/>
  <c r="Q14" i="3"/>
  <c r="N14" i="3"/>
  <c r="G14" i="3"/>
  <c r="D14" i="3"/>
  <c r="Q13" i="3"/>
  <c r="N13" i="3"/>
  <c r="G13" i="3"/>
  <c r="D13" i="3"/>
  <c r="Q12" i="3"/>
  <c r="N12" i="3"/>
  <c r="G12" i="3"/>
  <c r="D12" i="3"/>
  <c r="Q11" i="3"/>
  <c r="N11" i="3"/>
  <c r="G11" i="3"/>
  <c r="D11" i="3"/>
  <c r="Q10" i="3"/>
  <c r="N10" i="3"/>
  <c r="G10" i="3"/>
  <c r="D10" i="3"/>
  <c r="Q9" i="3"/>
  <c r="N9" i="3"/>
  <c r="G9" i="3"/>
  <c r="D9" i="3"/>
  <c r="Q8" i="3"/>
  <c r="N8" i="3"/>
  <c r="G8" i="3"/>
  <c r="D8" i="3"/>
  <c r="Q7" i="3"/>
  <c r="N7" i="3"/>
  <c r="G7" i="3"/>
  <c r="D7" i="3"/>
  <c r="Q6" i="3"/>
  <c r="N6" i="3"/>
  <c r="G6" i="3"/>
  <c r="D6" i="3"/>
  <c r="Q5" i="3"/>
  <c r="N5" i="3"/>
  <c r="G5" i="3"/>
  <c r="D5" i="3"/>
  <c r="G22" i="2"/>
  <c r="D22" i="2"/>
  <c r="H22" i="2"/>
  <c r="Q21" i="2"/>
  <c r="N21" i="2"/>
  <c r="R21" i="2"/>
  <c r="G21" i="2"/>
  <c r="D21" i="2"/>
  <c r="H21" i="2"/>
  <c r="Q20" i="2"/>
  <c r="N20" i="2"/>
  <c r="R20" i="2"/>
  <c r="G20" i="2"/>
  <c r="D20" i="2"/>
  <c r="H20" i="2"/>
  <c r="Q19" i="2"/>
  <c r="N19" i="2"/>
  <c r="R19" i="2"/>
  <c r="G19" i="2"/>
  <c r="D19" i="2"/>
  <c r="H19" i="2"/>
  <c r="Q18" i="2"/>
  <c r="N18" i="2"/>
  <c r="R18" i="2"/>
  <c r="G18" i="2"/>
  <c r="D18" i="2"/>
  <c r="H18" i="2"/>
  <c r="Q17" i="2"/>
  <c r="N17" i="2"/>
  <c r="R17" i="2"/>
  <c r="D17" i="2"/>
  <c r="H17" i="2"/>
  <c r="Q16" i="2"/>
  <c r="N16" i="2"/>
  <c r="R16" i="2"/>
  <c r="G16" i="2"/>
  <c r="D16" i="2"/>
  <c r="H16" i="2"/>
  <c r="Q15" i="2"/>
  <c r="R15" i="2"/>
  <c r="G15" i="2"/>
  <c r="D15" i="2"/>
  <c r="H15" i="2"/>
  <c r="Q14" i="2"/>
  <c r="N14" i="2"/>
  <c r="R14" i="2"/>
  <c r="G14" i="2"/>
  <c r="D14" i="2"/>
  <c r="H14" i="2"/>
  <c r="Q13" i="2"/>
  <c r="R13" i="2"/>
  <c r="G13" i="2"/>
  <c r="D13" i="2"/>
  <c r="H13" i="2"/>
  <c r="N12" i="2"/>
  <c r="R12" i="2"/>
  <c r="G12" i="2"/>
  <c r="H12" i="2"/>
  <c r="Q11" i="2"/>
  <c r="N11" i="2"/>
  <c r="R11" i="2"/>
  <c r="G11" i="2"/>
  <c r="D11" i="2"/>
  <c r="H11" i="2"/>
  <c r="Q10" i="2"/>
  <c r="N10" i="2"/>
  <c r="R10" i="2"/>
  <c r="G10" i="2"/>
  <c r="D10" i="2"/>
  <c r="H10" i="2"/>
  <c r="Q9" i="2"/>
  <c r="R9" i="2"/>
  <c r="G9" i="2"/>
  <c r="D9" i="2"/>
  <c r="H9" i="2"/>
  <c r="Q8" i="2"/>
  <c r="N8" i="2"/>
  <c r="R8" i="2"/>
  <c r="G8" i="2"/>
  <c r="D8" i="2"/>
  <c r="H8" i="2"/>
  <c r="Q7" i="2"/>
  <c r="N7" i="2"/>
  <c r="R7" i="2"/>
  <c r="G7" i="2"/>
  <c r="D7" i="2"/>
  <c r="H7" i="2"/>
  <c r="Q6" i="2"/>
  <c r="N6" i="2"/>
  <c r="R6" i="2"/>
  <c r="G6" i="2"/>
  <c r="D6" i="2"/>
  <c r="H6" i="2"/>
  <c r="Q5" i="2"/>
  <c r="N5" i="2"/>
  <c r="R5" i="2"/>
  <c r="G5" i="2"/>
  <c r="D5" i="2"/>
  <c r="H5" i="2"/>
  <c r="Q4" i="2"/>
  <c r="N4" i="2"/>
  <c r="R4" i="2"/>
  <c r="S4" i="2"/>
  <c r="S5" i="2"/>
  <c r="S6" i="2"/>
  <c r="S7" i="2"/>
  <c r="S8" i="2"/>
  <c r="S9" i="2"/>
  <c r="G4" i="2"/>
  <c r="D4" i="2"/>
  <c r="H4" i="2"/>
  <c r="I4" i="2"/>
  <c r="I5" i="2"/>
  <c r="I6" i="2"/>
  <c r="I7" i="2"/>
  <c r="I8" i="2"/>
  <c r="I9" i="2"/>
  <c r="G22" i="1"/>
  <c r="D22" i="1"/>
  <c r="H22" i="1"/>
  <c r="Q21" i="1"/>
  <c r="N21" i="1"/>
  <c r="R21" i="1"/>
  <c r="G21" i="1"/>
  <c r="D21" i="1"/>
  <c r="H21" i="1"/>
  <c r="Q20" i="1"/>
  <c r="N20" i="1"/>
  <c r="R20" i="1"/>
  <c r="G20" i="1"/>
  <c r="D20" i="1"/>
  <c r="H20" i="1"/>
  <c r="Q19" i="1"/>
  <c r="N19" i="1"/>
  <c r="R19" i="1"/>
  <c r="G19" i="1"/>
  <c r="D19" i="1"/>
  <c r="H19" i="1"/>
  <c r="Q18" i="1"/>
  <c r="N18" i="1"/>
  <c r="R18" i="1"/>
  <c r="G18" i="1"/>
  <c r="D18" i="1"/>
  <c r="H18" i="1"/>
  <c r="Q17" i="1"/>
  <c r="N17" i="1"/>
  <c r="R17" i="1"/>
  <c r="G17" i="1"/>
  <c r="D17" i="1"/>
  <c r="H17" i="1"/>
  <c r="Q16" i="1"/>
  <c r="N16" i="1"/>
  <c r="R16" i="1"/>
  <c r="G16" i="1"/>
  <c r="D16" i="1"/>
  <c r="H16" i="1"/>
  <c r="Q15" i="1"/>
  <c r="N15" i="1"/>
  <c r="R15" i="1"/>
  <c r="G15" i="1"/>
  <c r="D15" i="1"/>
  <c r="H15" i="1"/>
  <c r="Q14" i="1"/>
  <c r="N14" i="1"/>
  <c r="R14" i="1"/>
  <c r="G14" i="1"/>
  <c r="D14" i="1"/>
  <c r="H14" i="1"/>
  <c r="Q13" i="1"/>
  <c r="N13" i="1"/>
  <c r="R13" i="1"/>
  <c r="G13" i="1"/>
  <c r="D13" i="1"/>
  <c r="H13" i="1"/>
  <c r="Q12" i="1"/>
  <c r="N12" i="1"/>
  <c r="R12" i="1"/>
  <c r="G12" i="1"/>
  <c r="D12" i="1"/>
  <c r="H12" i="1"/>
  <c r="Q11" i="1"/>
  <c r="N11" i="1"/>
  <c r="R11" i="1"/>
  <c r="G11" i="1"/>
  <c r="D11" i="1"/>
  <c r="H11" i="1"/>
  <c r="Q10" i="1"/>
  <c r="N10" i="1"/>
  <c r="R10" i="1"/>
  <c r="D10" i="1"/>
  <c r="H10" i="1"/>
  <c r="Q9" i="1"/>
  <c r="N9" i="1"/>
  <c r="R9" i="1"/>
  <c r="G9" i="1"/>
  <c r="D9" i="1"/>
  <c r="H9" i="1"/>
  <c r="Q8" i="1"/>
  <c r="N8" i="1"/>
  <c r="R8" i="1"/>
  <c r="G8" i="1"/>
  <c r="D8" i="1"/>
  <c r="H8" i="1"/>
  <c r="Q7" i="1"/>
  <c r="N7" i="1"/>
  <c r="R7" i="1"/>
  <c r="G7" i="1"/>
  <c r="D7" i="1"/>
  <c r="H7" i="1"/>
  <c r="Q6" i="1"/>
  <c r="N6" i="1"/>
  <c r="R6" i="1"/>
  <c r="G6" i="1"/>
  <c r="D6" i="1"/>
  <c r="H6" i="1"/>
  <c r="Q5" i="1"/>
  <c r="N5" i="1"/>
  <c r="R5" i="1"/>
  <c r="G5" i="1"/>
  <c r="D5" i="1"/>
  <c r="H5" i="1"/>
  <c r="Q4" i="1"/>
  <c r="N4" i="1"/>
  <c r="R4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G4" i="1"/>
  <c r="D4" i="1"/>
  <c r="H4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S22" i="1"/>
  <c r="H5" i="3"/>
  <c r="I5" i="3"/>
  <c r="R5" i="3"/>
  <c r="S5" i="3"/>
  <c r="H6" i="3"/>
  <c r="R6" i="3"/>
  <c r="H7" i="3"/>
  <c r="R7" i="3"/>
  <c r="H8" i="3"/>
  <c r="R8" i="3"/>
  <c r="H9" i="3"/>
  <c r="R9" i="3"/>
  <c r="H10" i="3"/>
  <c r="R10" i="3"/>
  <c r="H11" i="3"/>
  <c r="R11" i="3"/>
  <c r="R12" i="3"/>
  <c r="H13" i="3"/>
  <c r="R13" i="3"/>
  <c r="H14" i="3"/>
  <c r="R14" i="3"/>
  <c r="H15" i="3"/>
  <c r="R15" i="3"/>
  <c r="H16" i="3"/>
  <c r="R16" i="3"/>
  <c r="H17" i="3"/>
  <c r="R17" i="3"/>
  <c r="H18" i="3"/>
  <c r="H19" i="3"/>
  <c r="R19" i="3"/>
  <c r="H20" i="3"/>
  <c r="R20" i="3"/>
  <c r="H21" i="3"/>
  <c r="R21" i="3"/>
  <c r="H22" i="3"/>
  <c r="R22" i="3"/>
  <c r="H23" i="3"/>
  <c r="R18" i="3"/>
  <c r="H12" i="3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S10" i="2"/>
  <c r="S11" i="2"/>
  <c r="S12" i="2"/>
  <c r="S13" i="2"/>
  <c r="S14" i="2"/>
  <c r="S15" i="2"/>
  <c r="S16" i="2"/>
  <c r="S17" i="2"/>
  <c r="S18" i="2"/>
  <c r="S19" i="2"/>
  <c r="S20" i="2"/>
  <c r="S21" i="2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2" i="2"/>
  <c r="S23" i="3"/>
</calcChain>
</file>

<file path=xl/sharedStrings.xml><?xml version="1.0" encoding="utf-8"?>
<sst xmlns="http://schemas.openxmlformats.org/spreadsheetml/2006/main" count="410" uniqueCount="161">
  <si>
    <r>
      <rPr>
        <b/>
        <sz val="36"/>
        <color rgb="FFFF0000"/>
        <rFont val="Arial"/>
        <family val="2"/>
      </rPr>
      <t>2ème TOUR</t>
    </r>
    <r>
      <rPr>
        <b/>
        <sz val="36"/>
        <rFont val="Arial"/>
        <family val="2"/>
      </rPr>
      <t xml:space="preserve"> INTERCLUBS  2017     </t>
    </r>
    <r>
      <rPr>
        <b/>
        <sz val="36"/>
        <color rgb="FFFF0000"/>
        <rFont val="Arial"/>
        <family val="2"/>
      </rPr>
      <t xml:space="preserve">EQUIPE 1 </t>
    </r>
    <r>
      <rPr>
        <b/>
        <sz val="36"/>
        <rFont val="Arial"/>
        <family val="2"/>
      </rPr>
      <t xml:space="preserve">    </t>
    </r>
    <r>
      <rPr>
        <b/>
        <sz val="24"/>
        <color rgb="FF00B050"/>
        <rFont val="Arial"/>
        <family val="2"/>
      </rPr>
      <t>Responsables d'équipe: VALERIE, ALAN et VIRGINIE</t>
    </r>
  </si>
  <si>
    <r>
      <t xml:space="preserve">CODE COULEUR:   </t>
    </r>
    <r>
      <rPr>
        <b/>
        <sz val="20"/>
        <color rgb="FF00B050"/>
        <rFont val="Arial"/>
        <family val="2"/>
      </rPr>
      <t>en vert identique au premier tour</t>
    </r>
    <r>
      <rPr>
        <b/>
        <sz val="20"/>
        <rFont val="Arial"/>
        <family val="2"/>
      </rPr>
      <t xml:space="preserve">, </t>
    </r>
    <r>
      <rPr>
        <b/>
        <sz val="20"/>
        <color rgb="FF0070C0"/>
        <rFont val="Arial"/>
        <family val="2"/>
      </rPr>
      <t>en Bleu déjà présent mais changement de discipline</t>
    </r>
    <r>
      <rPr>
        <b/>
        <sz val="20"/>
        <rFont val="Arial"/>
        <family val="2"/>
      </rPr>
      <t xml:space="preserve">, </t>
    </r>
    <r>
      <rPr>
        <b/>
        <sz val="20"/>
        <color rgb="FFFF0000"/>
        <rFont val="Arial"/>
        <family val="2"/>
      </rPr>
      <t>en rouge ceux qui intègrent l'équipe 1</t>
    </r>
  </si>
  <si>
    <r>
      <t xml:space="preserve"> HOMMES</t>
    </r>
    <r>
      <rPr>
        <b/>
        <sz val="14"/>
        <color rgb="FF7030A0"/>
        <rFont val="Arial"/>
        <family val="2"/>
      </rPr>
      <t/>
    </r>
  </si>
  <si>
    <t>FEMMES</t>
  </si>
  <si>
    <t>epreuves</t>
  </si>
  <si>
    <t>Athlète</t>
  </si>
  <si>
    <t>Perf</t>
  </si>
  <si>
    <t>Pts</t>
  </si>
  <si>
    <t xml:space="preserve">Athlète </t>
  </si>
  <si>
    <t>ligne</t>
  </si>
  <si>
    <t>Epreuves</t>
  </si>
  <si>
    <t>Perf 1</t>
  </si>
  <si>
    <t>Perf 2</t>
  </si>
  <si>
    <t>100 m</t>
  </si>
  <si>
    <t>CHAIGNEAU Tom</t>
  </si>
  <si>
    <t>GAUTIER Baptiste</t>
  </si>
  <si>
    <t>MAHE Lucie</t>
  </si>
  <si>
    <t>MENDES Evelina</t>
  </si>
  <si>
    <t>200 m</t>
  </si>
  <si>
    <t>BERLAND Frederic</t>
  </si>
  <si>
    <t xml:space="preserve"> BACONNAIS Corentin</t>
  </si>
  <si>
    <t>BLOMME Chloé</t>
  </si>
  <si>
    <t>BEHRA Candice</t>
  </si>
  <si>
    <t>400 m</t>
  </si>
  <si>
    <t>POTE Maximilien</t>
  </si>
  <si>
    <t>CLAUSIER Mickael</t>
  </si>
  <si>
    <t>GUILLET Vanille</t>
  </si>
  <si>
    <t>BUISSON Margot</t>
  </si>
  <si>
    <t>800 m</t>
  </si>
  <si>
    <t>LEGUENNE Thomas</t>
  </si>
  <si>
    <t>PIAUT Valentin</t>
  </si>
  <si>
    <t>LECOURT Blandine</t>
  </si>
  <si>
    <t>ODIAU Mathilde</t>
  </si>
  <si>
    <t>1500 m</t>
  </si>
  <si>
    <t>LOIRAT Louis</t>
  </si>
  <si>
    <t>COIRRE Mathieu</t>
  </si>
  <si>
    <t>DUVAL Emma</t>
  </si>
  <si>
    <t>BUET Maelle</t>
  </si>
  <si>
    <t>3000 m</t>
  </si>
  <si>
    <t>MOUCHET Romain</t>
  </si>
  <si>
    <t>HUGUET Ronan</t>
  </si>
  <si>
    <t>CHARPENTIER Juliette</t>
  </si>
  <si>
    <t>JAFFRAY Pauline</t>
  </si>
  <si>
    <t>110 H</t>
  </si>
  <si>
    <t>PARLIER Jules</t>
  </si>
  <si>
    <t>LEFEBVRE Quentin</t>
  </si>
  <si>
    <t>100 H</t>
  </si>
  <si>
    <t>GOMIS Sandra</t>
  </si>
  <si>
    <t xml:space="preserve">GAHERY Lucie </t>
  </si>
  <si>
    <t>400 H</t>
  </si>
  <si>
    <t>CHAUVEAU François ?</t>
  </si>
  <si>
    <t>HURUGUEN Alan</t>
  </si>
  <si>
    <t>BONNET Virginie</t>
  </si>
  <si>
    <t>BOUEC Morgane</t>
  </si>
  <si>
    <t>3000 St</t>
  </si>
  <si>
    <t>DELCAMBRE Clément</t>
  </si>
  <si>
    <t>DELCAMBRE Benoit</t>
  </si>
  <si>
    <t>MARCHE</t>
  </si>
  <si>
    <t>GASNIER Kathleen</t>
  </si>
  <si>
    <t>ALLONVILLE Amandine</t>
  </si>
  <si>
    <t>5000 M</t>
  </si>
  <si>
    <t>MAUDET Vincent</t>
  </si>
  <si>
    <t>MORILLEAU Frédéric</t>
  </si>
  <si>
    <t>HAUT</t>
  </si>
  <si>
    <t>HUGUET Anne France</t>
  </si>
  <si>
    <t>LECOZ Léna</t>
  </si>
  <si>
    <t>LONG</t>
  </si>
  <si>
    <t>BRETECHER Julia</t>
  </si>
  <si>
    <t xml:space="preserve"> GAUTIER Baptiste</t>
  </si>
  <si>
    <t>TRIPLE</t>
  </si>
  <si>
    <t>ASSOUMOU Charlotte</t>
  </si>
  <si>
    <t>ROUX P,A,</t>
  </si>
  <si>
    <t>PERCHE</t>
  </si>
  <si>
    <t>FONDIN Simon</t>
  </si>
  <si>
    <t>MARESCHAL Mathieu</t>
  </si>
  <si>
    <t>POIDS</t>
  </si>
  <si>
    <t>ADDRA Inès</t>
  </si>
  <si>
    <t xml:space="preserve">GESSAT Margaux </t>
  </si>
  <si>
    <t>MINOCHE Benjamin</t>
  </si>
  <si>
    <t>DISQUE</t>
  </si>
  <si>
    <t>LEGAUD Chloé</t>
  </si>
  <si>
    <t>SIMONEAU Lucille</t>
  </si>
  <si>
    <t xml:space="preserve"> LETALLEC Morgan</t>
  </si>
  <si>
    <t>JAVELOT</t>
  </si>
  <si>
    <t>DELATTRE Olivier</t>
  </si>
  <si>
    <t>MARTEAU</t>
  </si>
  <si>
    <t>CHERAUD Lysiane</t>
  </si>
  <si>
    <t>AVRIL Monique</t>
  </si>
  <si>
    <t>LOPES David</t>
  </si>
  <si>
    <t>PENNETIER Alois</t>
  </si>
  <si>
    <t>RELAIS</t>
  </si>
  <si>
    <t>4x100</t>
  </si>
  <si>
    <t>4x400</t>
  </si>
  <si>
    <t>4 x 100</t>
  </si>
  <si>
    <t>4 x 400</t>
  </si>
  <si>
    <t>H+F</t>
  </si>
  <si>
    <t>4x100 H: Tom Chaigneau, Frédéric Berland, Baptiste Gautier, Maximilien Pote</t>
  </si>
  <si>
    <t>4x100 F: GAHERY Lucie , GUILLET Vanille, BRETECHER Julia, GOMIS Sandra</t>
  </si>
  <si>
    <t>4x400m H : Mickael Clausier, Corentin Baconnais, Thomas Leguenne, Quentin Lefebvre</t>
  </si>
  <si>
    <t>4x400m H : BOUEC Morgane, BONNET Virginie, BEHRA Candice, BLOMME Chloé</t>
  </si>
  <si>
    <t xml:space="preserve">Différences par rapport au 1er tour: </t>
  </si>
  <si>
    <t>En réserve:  TISSOT Paola (1500/3000) MORILLEAU Julie (marche)</t>
  </si>
  <si>
    <r>
      <rPr>
        <b/>
        <u/>
        <sz val="16"/>
        <color rgb="FF0070C0"/>
        <rFont val="Arial"/>
        <family val="2"/>
      </rPr>
      <t>Absents:</t>
    </r>
    <r>
      <rPr>
        <b/>
        <sz val="16"/>
        <color rgb="FF0070C0"/>
        <rFont val="Arial"/>
        <family val="2"/>
      </rPr>
      <t xml:space="preserve"> Ruer Antoine, Gromand Vincent, Montalvo Titouan</t>
    </r>
  </si>
  <si>
    <r>
      <rPr>
        <b/>
        <u/>
        <sz val="16"/>
        <color rgb="FF0070C0"/>
        <rFont val="Arial"/>
        <family val="2"/>
      </rPr>
      <t>Retours ou nouveaux</t>
    </r>
    <r>
      <rPr>
        <b/>
        <sz val="16"/>
        <color rgb="FF0070C0"/>
        <rFont val="Arial"/>
        <family val="2"/>
      </rPr>
      <t>: Chaigneau Tom, Piaut Valentin, Minoche Benjamin, Mareschal Mathieu</t>
    </r>
  </si>
  <si>
    <t>Pierre Alexande ROUX fait un essai sur 4H</t>
  </si>
  <si>
    <t>En réserve:  BOURASSEAU Antoine (110 h / hauteur)</t>
  </si>
  <si>
    <r>
      <t xml:space="preserve"> Résultats INTERCLUBS  2017     </t>
    </r>
    <r>
      <rPr>
        <b/>
        <sz val="36"/>
        <color rgb="FFFF0000"/>
        <rFont val="Arial"/>
        <family val="2"/>
      </rPr>
      <t xml:space="preserve">EQUIPE 1 </t>
    </r>
    <r>
      <rPr>
        <b/>
        <sz val="36"/>
        <rFont val="Arial"/>
        <family val="2"/>
      </rPr>
      <t xml:space="preserve">   du 07/05/17    </t>
    </r>
    <r>
      <rPr>
        <b/>
        <sz val="24"/>
        <color rgb="FF00B050"/>
        <rFont val="Arial"/>
        <family val="2"/>
      </rPr>
      <t>Responsables d'équipe: VALERIE, ALAN et VIRGINIE</t>
    </r>
  </si>
  <si>
    <t>RUER Antoine</t>
  </si>
  <si>
    <t>LALOUF Antoine</t>
  </si>
  <si>
    <t>PERRAIS Clément</t>
  </si>
  <si>
    <t>EVAIN Hélèna</t>
  </si>
  <si>
    <t>RENAUD Pascal</t>
  </si>
  <si>
    <t>dq</t>
  </si>
  <si>
    <t>LORRE Jeanne</t>
  </si>
  <si>
    <t>LONGEROCHE Margaux</t>
  </si>
  <si>
    <t>GODEFROY Joseph</t>
  </si>
  <si>
    <t>GROMAND Vincent</t>
  </si>
  <si>
    <t>MONTALVO Titouan</t>
  </si>
  <si>
    <r>
      <rPr>
        <b/>
        <sz val="16"/>
        <color theme="1"/>
        <rFont val="Calibri"/>
        <family val="2"/>
        <scheme val="minor"/>
      </rPr>
      <t>4x100 H</t>
    </r>
    <r>
      <rPr>
        <sz val="16"/>
        <color theme="1"/>
        <rFont val="Calibri"/>
        <family val="2"/>
        <scheme val="minor"/>
      </rPr>
      <t>: Tom Chaigneau, Frédéric Berland, Baptiste Gautier, Quentin Lefevbre Mazan</t>
    </r>
  </si>
  <si>
    <r>
      <rPr>
        <b/>
        <sz val="16"/>
        <color theme="1"/>
        <rFont val="Calibri"/>
        <family val="2"/>
        <scheme val="minor"/>
      </rPr>
      <t>4x100 F</t>
    </r>
    <r>
      <rPr>
        <sz val="16"/>
        <color theme="1"/>
        <rFont val="Calibri"/>
        <family val="2"/>
        <scheme val="minor"/>
      </rPr>
      <t>: GAHERY Lucie , BEHRA Candice, BLOMME Chloé, GOMIS Sandra</t>
    </r>
  </si>
  <si>
    <r>
      <t>4x400m H</t>
    </r>
    <r>
      <rPr>
        <sz val="16"/>
        <color theme="1"/>
        <rFont val="Calibri"/>
        <family val="2"/>
        <scheme val="minor"/>
      </rPr>
      <t xml:space="preserve"> : Mickael Clausier, Corentin Baconnais, Thomas Leguenne, Antoine Ruer </t>
    </r>
  </si>
  <si>
    <r>
      <t>4x400m H</t>
    </r>
    <r>
      <rPr>
        <sz val="16"/>
        <color theme="1"/>
        <rFont val="Calibri"/>
        <family val="2"/>
        <scheme val="minor"/>
      </rPr>
      <t xml:space="preserve"> : BOUEC Morgane, BONNET Virginie, ADDRA Inès, DOUNONT Jane</t>
    </r>
  </si>
  <si>
    <r>
      <t xml:space="preserve">Résultats INTERCLUBS  2017    </t>
    </r>
    <r>
      <rPr>
        <b/>
        <sz val="36"/>
        <color rgb="FFFF0000"/>
        <rFont val="Arial"/>
        <family val="2"/>
      </rPr>
      <t xml:space="preserve">EQUIPE 2  </t>
    </r>
    <r>
      <rPr>
        <b/>
        <sz val="36"/>
        <rFont val="Arial"/>
        <family val="2"/>
      </rPr>
      <t xml:space="preserve"> du 07/05/17       </t>
    </r>
    <r>
      <rPr>
        <b/>
        <sz val="20"/>
        <color rgb="FF00B050"/>
        <rFont val="Arial"/>
        <family val="2"/>
      </rPr>
      <t xml:space="preserve"> </t>
    </r>
    <r>
      <rPr>
        <b/>
        <sz val="24"/>
        <color rgb="FF00B050"/>
        <rFont val="Arial"/>
        <family val="2"/>
      </rPr>
      <t>Responsables d'équipe: DIDIER  XAVIER et FRED</t>
    </r>
  </si>
  <si>
    <t>CHERON Paul</t>
  </si>
  <si>
    <t>MAHE Baptiste</t>
  </si>
  <si>
    <t>ALBINO Diana</t>
  </si>
  <si>
    <t xml:space="preserve"> LEMEUR Antoine</t>
  </si>
  <si>
    <t xml:space="preserve">LALAITE Bastien </t>
  </si>
  <si>
    <t>CORNU Eugénie</t>
  </si>
  <si>
    <t>FAUVEDER Karen</t>
  </si>
  <si>
    <t>EVEN Lucas</t>
  </si>
  <si>
    <t>JAHAN Thomas</t>
  </si>
  <si>
    <t>SECHE Aurélie</t>
  </si>
  <si>
    <t>BICHON Sarah</t>
  </si>
  <si>
    <t>ANDRES Luis</t>
  </si>
  <si>
    <t>BOISNARD Clémence</t>
  </si>
  <si>
    <t>DETHARE Mathéo</t>
  </si>
  <si>
    <t>CHARPENTIER Delphine</t>
  </si>
  <si>
    <t>TISSOT Paola</t>
  </si>
  <si>
    <t>ARNAUD Léo</t>
  </si>
  <si>
    <t>GUIBOUIN Rosine</t>
  </si>
  <si>
    <t>BOURASSEAU Antoine</t>
  </si>
  <si>
    <t>???</t>
  </si>
  <si>
    <t>ADDA Corentin</t>
  </si>
  <si>
    <t>REAU Guillame</t>
  </si>
  <si>
    <t>BONNET Philippine</t>
  </si>
  <si>
    <t>BOISSEAU Marine</t>
  </si>
  <si>
    <t>WALSH Charles</t>
  </si>
  <si>
    <t>np</t>
  </si>
  <si>
    <t>DESOUZA Jérome</t>
  </si>
  <si>
    <t>DREAN Philou</t>
  </si>
  <si>
    <t>ROCHER Guilherm</t>
  </si>
  <si>
    <t>BOISNARD Clémence ?</t>
  </si>
  <si>
    <t>GILLET Corentin</t>
  </si>
  <si>
    <t>MARECHAL Mathieu</t>
  </si>
  <si>
    <t>LEFORT Fred</t>
  </si>
  <si>
    <t>nc</t>
  </si>
  <si>
    <t>ALBINO Diana ?</t>
  </si>
  <si>
    <t>GAUDIN Thomas</t>
  </si>
  <si>
    <t>LALAITE Bastien</t>
  </si>
  <si>
    <t>LECADRE Josselin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</si>
</sst>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0.0000"/>
    <numFmt numFmtId="166" formatCode="[$-40C]General"/>
    <numFmt numFmtId="167" formatCode="00000"/>
    <numFmt numFmtId="168" formatCode="&quot; &quot;General"/>
  </numFmts>
  <fonts count="33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36"/>
      <name val="Arial"/>
      <family val="2"/>
    </font>
    <font>
      <b/>
      <sz val="36"/>
      <color rgb="FFFF0000"/>
      <name val="Arial"/>
      <family val="2"/>
    </font>
    <font>
      <b/>
      <sz val="24"/>
      <color rgb="FF00B050"/>
      <name val="Arial"/>
      <family val="2"/>
    </font>
    <font>
      <b/>
      <sz val="20"/>
      <name val="Arial"/>
      <family val="2"/>
    </font>
    <font>
      <b/>
      <sz val="14"/>
      <color rgb="FF7030A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rgb="FF0070C0"/>
      <name val="Arial"/>
      <family val="2"/>
    </font>
    <font>
      <b/>
      <sz val="12"/>
      <color rgb="FF0070C0"/>
      <name val="Arial"/>
      <family val="2"/>
    </font>
    <font>
      <b/>
      <sz val="16"/>
      <color rgb="FF7030A0"/>
      <name val="Arial"/>
      <family val="2"/>
    </font>
    <font>
      <sz val="10"/>
      <color rgb="FF7030A0"/>
      <name val="Arial"/>
      <family val="2"/>
    </font>
    <font>
      <b/>
      <sz val="18"/>
      <name val="Arial"/>
      <family val="2"/>
    </font>
    <font>
      <b/>
      <sz val="18"/>
      <color rgb="FFFF0000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charset val="1"/>
    </font>
    <font>
      <b/>
      <sz val="20"/>
      <color rgb="FF00B050"/>
      <name val="Arial"/>
      <family val="2"/>
    </font>
    <font>
      <b/>
      <sz val="16"/>
      <color rgb="FF0070C0"/>
      <name val="Calibri"/>
      <family val="2"/>
    </font>
    <font>
      <b/>
      <sz val="16"/>
      <color rgb="FFFF0000"/>
      <name val="Arial"/>
      <family val="2"/>
    </font>
    <font>
      <b/>
      <sz val="16"/>
      <color rgb="FF00B050"/>
      <name val="Arial"/>
      <family val="2"/>
    </font>
    <font>
      <b/>
      <sz val="16"/>
      <color rgb="FF00B050"/>
      <name val="Calibri"/>
      <family val="2"/>
      <scheme val="minor"/>
    </font>
    <font>
      <b/>
      <u/>
      <sz val="16"/>
      <color rgb="FF0070C0"/>
      <name val="Arial"/>
      <family val="2"/>
    </font>
    <font>
      <b/>
      <sz val="16"/>
      <color rgb="FFC00000"/>
      <name val="Arial"/>
      <family val="2"/>
    </font>
    <font>
      <b/>
      <sz val="16"/>
      <color rgb="FFFF0000"/>
      <name val="Calibri"/>
      <family val="2"/>
    </font>
    <font>
      <b/>
      <sz val="16"/>
      <color rgb="FFDC2300"/>
      <name val="Arial"/>
      <family val="2"/>
    </font>
    <font>
      <b/>
      <sz val="20"/>
      <color rgb="FF0070C0"/>
      <name val="Arial"/>
      <family val="2"/>
    </font>
    <font>
      <b/>
      <sz val="2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166" fontId="18" fillId="0" borderId="0" applyBorder="0" applyProtection="0"/>
    <xf numFmtId="0" fontId="19" fillId="0" borderId="0" applyNumberFormat="0" applyFill="0" applyBorder="0" applyProtection="0"/>
    <xf numFmtId="0" fontId="20" fillId="0" borderId="0"/>
    <xf numFmtId="0" fontId="19" fillId="0" borderId="0" applyNumberFormat="0" applyFill="0" applyBorder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21" fillId="0" borderId="0"/>
  </cellStyleXfs>
  <cellXfs count="96">
    <xf numFmtId="0" fontId="0" fillId="0" borderId="0" xfId="0"/>
    <xf numFmtId="0" fontId="1" fillId="0" borderId="0" xfId="1"/>
    <xf numFmtId="0" fontId="7" fillId="0" borderId="0" xfId="1" applyFont="1" applyBorder="1"/>
    <xf numFmtId="164" fontId="8" fillId="0" borderId="4" xfId="1" applyNumberFormat="1" applyFont="1" applyFill="1" applyBorder="1" applyAlignment="1" applyProtection="1">
      <alignment horizontal="center" vertical="center"/>
    </xf>
    <xf numFmtId="164" fontId="8" fillId="0" borderId="4" xfId="1" quotePrefix="1" applyNumberFormat="1" applyFont="1" applyFill="1" applyBorder="1" applyAlignment="1" applyProtection="1">
      <alignment horizontal="center" vertical="center"/>
    </xf>
    <xf numFmtId="164" fontId="9" fillId="0" borderId="0" xfId="1" quotePrefix="1" applyNumberFormat="1" applyFont="1" applyFill="1" applyBorder="1" applyAlignment="1" applyProtection="1">
      <alignment horizontal="center" vertical="center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2" fontId="10" fillId="2" borderId="4" xfId="1" applyNumberFormat="1" applyFont="1" applyFill="1" applyBorder="1" applyAlignment="1" applyProtection="1">
      <alignment horizontal="center" vertical="center"/>
    </xf>
    <xf numFmtId="164" fontId="10" fillId="2" borderId="4" xfId="1" applyNumberFormat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 wrapText="1"/>
      <protection locked="0"/>
    </xf>
    <xf numFmtId="2" fontId="10" fillId="3" borderId="4" xfId="1" applyNumberFormat="1" applyFont="1" applyFill="1" applyBorder="1" applyAlignment="1" applyProtection="1">
      <alignment horizontal="center" vertical="center"/>
    </xf>
    <xf numFmtId="164" fontId="10" fillId="3" borderId="4" xfId="1" applyNumberFormat="1" applyFont="1" applyFill="1" applyBorder="1" applyAlignment="1" applyProtection="1">
      <alignment horizontal="center" vertical="center"/>
    </xf>
    <xf numFmtId="164" fontId="11" fillId="3" borderId="0" xfId="1" applyNumberFormat="1" applyFont="1" applyFill="1" applyBorder="1" applyAlignment="1" applyProtection="1">
      <alignment horizontal="center" vertical="center"/>
    </xf>
    <xf numFmtId="0" fontId="12" fillId="2" borderId="4" xfId="1" applyNumberFormat="1" applyFont="1" applyFill="1" applyBorder="1" applyAlignment="1" applyProtection="1">
      <alignment horizontal="center" vertical="center" wrapText="1"/>
    </xf>
    <xf numFmtId="2" fontId="12" fillId="2" borderId="4" xfId="1" applyNumberFormat="1" applyFont="1" applyFill="1" applyBorder="1" applyAlignment="1">
      <alignment horizontal="center" vertical="center"/>
    </xf>
    <xf numFmtId="164" fontId="12" fillId="2" borderId="4" xfId="1" applyNumberFormat="1" applyFont="1" applyFill="1" applyBorder="1" applyAlignment="1" applyProtection="1">
      <alignment horizontal="center" vertical="center"/>
    </xf>
    <xf numFmtId="164" fontId="12" fillId="2" borderId="4" xfId="1" applyNumberFormat="1" applyFont="1" applyFill="1" applyBorder="1" applyAlignment="1" applyProtection="1">
      <alignment horizontal="center" vertical="center" wrapText="1"/>
    </xf>
    <xf numFmtId="2" fontId="12" fillId="0" borderId="4" xfId="1" applyNumberFormat="1" applyFont="1" applyBorder="1" applyAlignment="1">
      <alignment horizontal="center" vertical="center"/>
    </xf>
    <xf numFmtId="164" fontId="12" fillId="3" borderId="4" xfId="1" applyNumberFormat="1" applyFont="1" applyFill="1" applyBorder="1" applyAlignment="1" applyProtection="1">
      <alignment horizontal="center" vertical="center"/>
    </xf>
    <xf numFmtId="1" fontId="12" fillId="3" borderId="4" xfId="1" applyNumberFormat="1" applyFont="1" applyFill="1" applyBorder="1" applyAlignment="1" applyProtection="1">
      <alignment horizontal="center" vertical="center"/>
    </xf>
    <xf numFmtId="0" fontId="1" fillId="0" borderId="0" xfId="1" applyAlignment="1">
      <alignment horizontal="center" vertical="center"/>
    </xf>
    <xf numFmtId="0" fontId="12" fillId="2" borderId="4" xfId="1" applyFont="1" applyFill="1" applyBorder="1" applyAlignment="1" applyProtection="1">
      <alignment horizontal="center" vertical="center" wrapText="1"/>
      <protection locked="0"/>
    </xf>
    <xf numFmtId="2" fontId="10" fillId="2" borderId="4" xfId="1" applyNumberFormat="1" applyFont="1" applyFill="1" applyBorder="1" applyAlignment="1">
      <alignment horizontal="center" vertical="center"/>
    </xf>
    <xf numFmtId="2" fontId="10" fillId="0" borderId="4" xfId="1" applyNumberFormat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165" fontId="10" fillId="2" borderId="4" xfId="1" applyNumberFormat="1" applyFont="1" applyFill="1" applyBorder="1" applyAlignment="1">
      <alignment horizontal="center" vertical="center"/>
    </xf>
    <xf numFmtId="165" fontId="10" fillId="0" borderId="4" xfId="1" applyNumberFormat="1" applyFont="1" applyBorder="1" applyAlignment="1">
      <alignment horizontal="center" vertical="center"/>
    </xf>
    <xf numFmtId="165" fontId="12" fillId="2" borderId="4" xfId="1" applyNumberFormat="1" applyFont="1" applyFill="1" applyBorder="1" applyAlignment="1">
      <alignment horizontal="center" vertical="center"/>
    </xf>
    <xf numFmtId="165" fontId="12" fillId="0" borderId="4" xfId="1" applyNumberFormat="1" applyFont="1" applyBorder="1" applyAlignment="1">
      <alignment horizontal="center" vertical="center"/>
    </xf>
    <xf numFmtId="164" fontId="10" fillId="2" borderId="4" xfId="1" applyNumberFormat="1" applyFont="1" applyFill="1" applyBorder="1" applyAlignment="1" applyProtection="1">
      <alignment horizontal="center" vertical="center" wrapText="1"/>
    </xf>
    <xf numFmtId="165" fontId="12" fillId="0" borderId="4" xfId="1" applyNumberFormat="1" applyFont="1" applyBorder="1" applyAlignment="1">
      <alignment horizontal="center" vertical="center" wrapText="1"/>
    </xf>
    <xf numFmtId="0" fontId="12" fillId="2" borderId="4" xfId="1" applyNumberFormat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>
      <alignment horizontal="center" vertical="center" wrapText="1"/>
    </xf>
    <xf numFmtId="0" fontId="12" fillId="3" borderId="4" xfId="1" applyNumberFormat="1" applyFont="1" applyFill="1" applyBorder="1" applyAlignment="1" applyProtection="1">
      <alignment horizontal="center" vertical="center"/>
    </xf>
    <xf numFmtId="0" fontId="10" fillId="2" borderId="4" xfId="1" applyNumberFormat="1" applyFont="1" applyFill="1" applyBorder="1" applyAlignment="1" applyProtection="1">
      <alignment horizontal="center" vertical="center"/>
    </xf>
    <xf numFmtId="0" fontId="10" fillId="3" borderId="4" xfId="1" applyNumberFormat="1" applyFont="1" applyFill="1" applyBorder="1" applyAlignment="1" applyProtection="1">
      <alignment horizontal="center" vertical="center"/>
    </xf>
    <xf numFmtId="2" fontId="12" fillId="2" borderId="4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0" fontId="12" fillId="2" borderId="4" xfId="1" applyFont="1" applyFill="1" applyBorder="1" applyAlignment="1" applyProtection="1">
      <alignment horizontal="center" vertical="center"/>
      <protection locked="0"/>
    </xf>
    <xf numFmtId="0" fontId="10" fillId="2" borderId="4" xfId="1" applyFont="1" applyFill="1" applyBorder="1" applyAlignment="1" applyProtection="1">
      <alignment horizontal="center" vertical="center"/>
      <protection locked="0"/>
    </xf>
    <xf numFmtId="165" fontId="10" fillId="2" borderId="4" xfId="0" applyNumberFormat="1" applyFont="1" applyFill="1" applyBorder="1" applyAlignment="1">
      <alignment horizontal="center" vertical="center" wrapText="1"/>
    </xf>
    <xf numFmtId="164" fontId="11" fillId="3" borderId="5" xfId="1" applyNumberFormat="1" applyFont="1" applyFill="1" applyBorder="1" applyAlignment="1" applyProtection="1">
      <alignment horizontal="center" vertical="center"/>
    </xf>
    <xf numFmtId="0" fontId="1" fillId="0" borderId="5" xfId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164" fontId="15" fillId="3" borderId="4" xfId="1" applyNumberFormat="1" applyFont="1" applyFill="1" applyBorder="1" applyAlignment="1" applyProtection="1">
      <alignment horizontal="center" vertical="center"/>
    </xf>
    <xf numFmtId="0" fontId="16" fillId="0" borderId="0" xfId="0" applyFont="1"/>
    <xf numFmtId="0" fontId="17" fillId="0" borderId="0" xfId="0" applyFont="1"/>
    <xf numFmtId="0" fontId="1" fillId="0" borderId="0" xfId="1" applyFill="1"/>
    <xf numFmtId="167" fontId="12" fillId="2" borderId="4" xfId="1" applyNumberFormat="1" applyFont="1" applyFill="1" applyBorder="1" applyAlignment="1" applyProtection="1">
      <alignment horizontal="center" vertical="center" wrapText="1"/>
      <protection locked="0"/>
    </xf>
    <xf numFmtId="168" fontId="23" fillId="4" borderId="6" xfId="1" applyNumberFormat="1" applyFont="1" applyFill="1" applyBorder="1" applyAlignment="1" applyProtection="1">
      <alignment horizontal="center" vertical="center" wrapText="1"/>
    </xf>
    <xf numFmtId="164" fontId="24" fillId="3" borderId="4" xfId="1" applyNumberFormat="1" applyFont="1" applyFill="1" applyBorder="1" applyAlignment="1" applyProtection="1">
      <alignment horizontal="center" vertical="center"/>
    </xf>
    <xf numFmtId="0" fontId="24" fillId="3" borderId="4" xfId="1" applyNumberFormat="1" applyFont="1" applyFill="1" applyBorder="1" applyAlignment="1" applyProtection="1">
      <alignment horizontal="center" vertical="center"/>
    </xf>
    <xf numFmtId="164" fontId="25" fillId="2" borderId="4" xfId="1" applyNumberFormat="1" applyFont="1" applyFill="1" applyBorder="1" applyAlignment="1" applyProtection="1">
      <alignment horizontal="center" vertical="center" wrapText="1"/>
    </xf>
    <xf numFmtId="0" fontId="25" fillId="2" borderId="4" xfId="1" applyFont="1" applyFill="1" applyBorder="1" applyAlignment="1" applyProtection="1">
      <alignment horizontal="center" vertical="center" wrapText="1"/>
      <protection locked="0"/>
    </xf>
    <xf numFmtId="0" fontId="25" fillId="2" borderId="4" xfId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4" fillId="2" borderId="4" xfId="1" applyFont="1" applyFill="1" applyBorder="1" applyAlignment="1" applyProtection="1">
      <alignment horizontal="center" vertical="center" wrapText="1"/>
      <protection locked="0"/>
    </xf>
    <xf numFmtId="0" fontId="25" fillId="2" borderId="4" xfId="1" applyNumberFormat="1" applyFont="1" applyFill="1" applyBorder="1" applyAlignment="1" applyProtection="1">
      <alignment horizontal="center" vertical="center" wrapText="1"/>
    </xf>
    <xf numFmtId="167" fontId="24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2" borderId="4" xfId="0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168" fontId="29" fillId="4" borderId="6" xfId="1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/>
    <xf numFmtId="0" fontId="1" fillId="0" borderId="0" xfId="1" applyAlignment="1"/>
    <xf numFmtId="0" fontId="27" fillId="0" borderId="0" xfId="1" applyFont="1" applyAlignment="1"/>
    <xf numFmtId="0" fontId="10" fillId="0" borderId="0" xfId="1" applyFont="1" applyAlignment="1"/>
    <xf numFmtId="0" fontId="10" fillId="2" borderId="0" xfId="1" applyFont="1" applyFill="1" applyBorder="1" applyAlignment="1" applyProtection="1">
      <alignment horizontal="center" wrapText="1"/>
      <protection locked="0"/>
    </xf>
    <xf numFmtId="0" fontId="28" fillId="0" borderId="0" xfId="1" applyFont="1" applyAlignment="1"/>
    <xf numFmtId="0" fontId="24" fillId="0" borderId="0" xfId="1" applyFont="1" applyFill="1" applyAlignment="1"/>
    <xf numFmtId="0" fontId="24" fillId="2" borderId="0" xfId="1" applyFont="1" applyFill="1" applyBorder="1" applyAlignment="1" applyProtection="1">
      <alignment horizontal="left"/>
      <protection locked="0"/>
    </xf>
    <xf numFmtId="0" fontId="1" fillId="0" borderId="0" xfId="1" applyFill="1" applyAlignment="1"/>
    <xf numFmtId="0" fontId="12" fillId="0" borderId="0" xfId="1" applyFont="1" applyAlignment="1"/>
    <xf numFmtId="164" fontId="8" fillId="0" borderId="7" xfId="1" applyNumberFormat="1" applyFont="1" applyFill="1" applyBorder="1" applyAlignment="1" applyProtection="1">
      <alignment horizontal="center" vertical="center" wrapText="1"/>
    </xf>
    <xf numFmtId="165" fontId="12" fillId="2" borderId="8" xfId="1" applyNumberFormat="1" applyFont="1" applyFill="1" applyBorder="1" applyAlignment="1">
      <alignment horizontal="center" vertical="center"/>
    </xf>
    <xf numFmtId="0" fontId="25" fillId="2" borderId="9" xfId="1" applyFont="1" applyFill="1" applyBorder="1" applyAlignment="1" applyProtection="1">
      <alignment horizontal="center" vertical="center" wrapText="1"/>
      <protection locked="0"/>
    </xf>
    <xf numFmtId="0" fontId="24" fillId="2" borderId="10" xfId="0" applyFont="1" applyFill="1" applyBorder="1" applyAlignment="1">
      <alignment horizontal="center" vertical="center" wrapText="1"/>
    </xf>
    <xf numFmtId="0" fontId="25" fillId="2" borderId="10" xfId="1" applyFont="1" applyFill="1" applyBorder="1" applyAlignment="1">
      <alignment horizontal="center" vertical="center" wrapText="1"/>
    </xf>
    <xf numFmtId="164" fontId="10" fillId="2" borderId="7" xfId="1" applyNumberFormat="1" applyFont="1" applyFill="1" applyBorder="1" applyAlignment="1" applyProtection="1">
      <alignment horizontal="center" vertical="center"/>
    </xf>
    <xf numFmtId="0" fontId="10" fillId="2" borderId="10" xfId="1" applyFont="1" applyFill="1" applyBorder="1" applyAlignment="1" applyProtection="1">
      <alignment horizontal="center" vertical="center" wrapText="1"/>
      <protection locked="0"/>
    </xf>
    <xf numFmtId="0" fontId="30" fillId="5" borderId="4" xfId="10" applyFont="1" applyFill="1" applyBorder="1" applyAlignment="1" applyProtection="1">
      <alignment horizontal="center" vertical="center" wrapText="1"/>
      <protection locked="0"/>
    </xf>
    <xf numFmtId="0" fontId="30" fillId="6" borderId="4" xfId="10" applyFont="1" applyFill="1" applyBorder="1" applyAlignment="1">
      <alignment horizontal="center" vertical="center" wrapText="1"/>
    </xf>
    <xf numFmtId="165" fontId="10" fillId="2" borderId="10" xfId="1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</cellXfs>
  <cellStyles count="11">
    <cellStyle name="Excel Built-in Normal" xfId="2"/>
    <cellStyle name="Normal" xfId="0" builtinId="0"/>
    <cellStyle name="Normal 2" xfId="1"/>
    <cellStyle name="Normal 3" xfId="3"/>
    <cellStyle name="Normal 3 2" xfId="4"/>
    <cellStyle name="Normal 4" xfId="5"/>
    <cellStyle name="Normal 4 2" xfId="6"/>
    <cellStyle name="Normal 5" xfId="7"/>
    <cellStyle name="Normal 6" xfId="8"/>
    <cellStyle name="Normal 6 2" xfId="9"/>
    <cellStyle name="TableStyleLight1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showGridLines="0" tabSelected="1" zoomScale="40" zoomScaleNormal="40" workbookViewId="0">
      <selection activeCell="E18" sqref="E18"/>
    </sheetView>
  </sheetViews>
  <sheetFormatPr baseColWidth="10" defaultColWidth="11.42578125" defaultRowHeight="12.75" x14ac:dyDescent="0.2"/>
  <cols>
    <col min="1" max="1" width="24.7109375" style="52" customWidth="1"/>
    <col min="2" max="2" width="29.5703125" style="1" customWidth="1"/>
    <col min="3" max="3" width="16.42578125" style="1" customWidth="1"/>
    <col min="4" max="4" width="11.42578125" style="1" customWidth="1"/>
    <col min="5" max="5" width="29.7109375" style="1" customWidth="1"/>
    <col min="6" max="6" width="14.5703125" style="1" customWidth="1"/>
    <col min="7" max="7" width="12.7109375" style="1" customWidth="1"/>
    <col min="8" max="8" width="14.28515625" style="1" customWidth="1"/>
    <col min="9" max="9" width="15.7109375" style="1" customWidth="1"/>
    <col min="10" max="10" width="5.85546875" style="1" customWidth="1"/>
    <col min="11" max="11" width="25.140625" style="1" customWidth="1"/>
    <col min="12" max="12" width="31.140625" style="1" customWidth="1"/>
    <col min="13" max="13" width="17.140625" style="1" customWidth="1"/>
    <col min="14" max="14" width="12.28515625" style="1" customWidth="1"/>
    <col min="15" max="15" width="29.42578125" style="1" customWidth="1"/>
    <col min="16" max="16" width="16.28515625" style="1" customWidth="1"/>
    <col min="17" max="17" width="11.85546875" style="1" customWidth="1"/>
    <col min="18" max="18" width="10.5703125" style="1" customWidth="1"/>
    <col min="19" max="19" width="18" style="1" customWidth="1"/>
    <col min="20" max="20" width="4.7109375" style="1" customWidth="1"/>
    <col min="21" max="16384" width="11.42578125" style="1"/>
  </cols>
  <sheetData>
    <row r="1" spans="1:19" ht="61.5" customHeight="1" x14ac:dyDescent="0.2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90"/>
    </row>
    <row r="2" spans="1:19" ht="48" customHeight="1" x14ac:dyDescent="0.2">
      <c r="A2" s="93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5"/>
    </row>
    <row r="3" spans="1:19" ht="33.75" customHeight="1" x14ac:dyDescent="0.35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2"/>
      <c r="K3" s="92" t="s">
        <v>3</v>
      </c>
      <c r="L3" s="92"/>
      <c r="M3" s="92"/>
      <c r="N3" s="92"/>
      <c r="O3" s="92"/>
      <c r="P3" s="92"/>
      <c r="Q3" s="92"/>
      <c r="R3" s="92"/>
      <c r="S3" s="92"/>
    </row>
    <row r="4" spans="1:19" ht="39.75" customHeight="1" x14ac:dyDescent="0.2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6</v>
      </c>
      <c r="G4" s="3" t="s">
        <v>7</v>
      </c>
      <c r="H4" s="3" t="s">
        <v>9</v>
      </c>
      <c r="I4" s="4"/>
      <c r="J4" s="5"/>
      <c r="K4" s="3" t="s">
        <v>10</v>
      </c>
      <c r="L4" s="3" t="s">
        <v>5</v>
      </c>
      <c r="M4" s="3" t="s">
        <v>11</v>
      </c>
      <c r="N4" s="3" t="s">
        <v>7</v>
      </c>
      <c r="O4" s="3" t="s">
        <v>5</v>
      </c>
      <c r="P4" s="3" t="s">
        <v>12</v>
      </c>
      <c r="Q4" s="3" t="s">
        <v>7</v>
      </c>
      <c r="R4" s="3" t="s">
        <v>9</v>
      </c>
      <c r="S4" s="4"/>
    </row>
    <row r="5" spans="1:19" s="21" customFormat="1" ht="45" customHeight="1" x14ac:dyDescent="0.2">
      <c r="A5" s="6" t="s">
        <v>13</v>
      </c>
      <c r="B5" s="65" t="s">
        <v>14</v>
      </c>
      <c r="C5" s="8">
        <v>11.9</v>
      </c>
      <c r="D5" s="9">
        <f>TRUNC(21.77/2*((C5-17.5)^2+(C5-17.5+0)^2)-0)</f>
        <v>682</v>
      </c>
      <c r="E5" s="10" t="s">
        <v>15</v>
      </c>
      <c r="F5" s="11">
        <v>11.9</v>
      </c>
      <c r="G5" s="12">
        <f>TRUNC(21.77/2*((F5-17.5)^2+(F5-17.5+0)^2)-0)</f>
        <v>682</v>
      </c>
      <c r="H5" s="12">
        <f t="shared" ref="H5:H23" si="0">+G5+D5</f>
        <v>1364</v>
      </c>
      <c r="I5" s="12">
        <f t="shared" ref="I5:I23" si="1">+I4+H5</f>
        <v>1364</v>
      </c>
      <c r="J5" s="13"/>
      <c r="K5" s="6" t="s">
        <v>13</v>
      </c>
      <c r="L5" s="63" t="s">
        <v>16</v>
      </c>
      <c r="M5" s="15">
        <v>13.92</v>
      </c>
      <c r="N5" s="16">
        <f>TRUNC(6.5713/2*((M5-24.5)^2+(M5-24.5+0)^2)-0)</f>
        <v>735</v>
      </c>
      <c r="O5" s="57" t="s">
        <v>17</v>
      </c>
      <c r="P5" s="18">
        <v>13.94</v>
      </c>
      <c r="Q5" s="19">
        <f>TRUNC(6.5713/2*((P5-24.5)^2+(P5-24.5+0)^2)-0)</f>
        <v>732</v>
      </c>
      <c r="R5" s="20">
        <f t="shared" ref="R5:R22" si="2">+Q5+N5</f>
        <v>1467</v>
      </c>
      <c r="S5" s="19">
        <f t="shared" ref="S5:S22" si="3">+S4+R5</f>
        <v>1467</v>
      </c>
    </row>
    <row r="6" spans="1:19" s="21" customFormat="1" ht="45" customHeight="1" x14ac:dyDescent="0.2">
      <c r="A6" s="6" t="s">
        <v>18</v>
      </c>
      <c r="B6" s="10" t="s">
        <v>19</v>
      </c>
      <c r="C6" s="8">
        <v>23.8</v>
      </c>
      <c r="D6" s="9">
        <f>TRUNC(4.799/2*((C6-36)^2+(C6-36+0)^2)-0)</f>
        <v>714</v>
      </c>
      <c r="E6" s="7" t="s">
        <v>20</v>
      </c>
      <c r="F6" s="11">
        <v>24.25</v>
      </c>
      <c r="G6" s="12">
        <f>TRUNC(4.799/2*((F6-36)^2+(F6-36+0)^2)-0)</f>
        <v>662</v>
      </c>
      <c r="H6" s="12">
        <f t="shared" si="0"/>
        <v>1376</v>
      </c>
      <c r="I6" s="12">
        <f t="shared" si="1"/>
        <v>2740</v>
      </c>
      <c r="J6" s="13"/>
      <c r="K6" s="6" t="s">
        <v>18</v>
      </c>
      <c r="L6" s="58" t="s">
        <v>21</v>
      </c>
      <c r="M6" s="15">
        <v>25.81</v>
      </c>
      <c r="N6" s="16">
        <f>TRUNC(1.2685/2*((M6-53)^2+(M6-53+0)^2)-0)</f>
        <v>937</v>
      </c>
      <c r="O6" s="58" t="s">
        <v>22</v>
      </c>
      <c r="P6" s="18">
        <v>26.82</v>
      </c>
      <c r="Q6" s="19">
        <f>TRUNC(1.2685/2*((P6-53)^2+(P6-53+0)^2)-0)</f>
        <v>869</v>
      </c>
      <c r="R6" s="20">
        <f t="shared" si="2"/>
        <v>1806</v>
      </c>
      <c r="S6" s="19">
        <f t="shared" si="3"/>
        <v>3273</v>
      </c>
    </row>
    <row r="7" spans="1:19" s="21" customFormat="1" ht="45" customHeight="1" x14ac:dyDescent="0.2">
      <c r="A7" s="6" t="s">
        <v>23</v>
      </c>
      <c r="B7" s="59" t="s">
        <v>24</v>
      </c>
      <c r="C7" s="23">
        <v>50.85</v>
      </c>
      <c r="D7" s="9">
        <f>TRUNC(0.8582/2*((C7-82)^2+(C7-82+0)^2)-0)</f>
        <v>832</v>
      </c>
      <c r="E7" s="58" t="s">
        <v>25</v>
      </c>
      <c r="F7" s="24">
        <v>53.23</v>
      </c>
      <c r="G7" s="12">
        <f>TRUNC(0.8582/2*((F7-82)^2+(F7-82+0)^2)-0)</f>
        <v>710</v>
      </c>
      <c r="H7" s="12">
        <f t="shared" si="0"/>
        <v>1542</v>
      </c>
      <c r="I7" s="12">
        <f t="shared" si="1"/>
        <v>4282</v>
      </c>
      <c r="J7" s="13"/>
      <c r="K7" s="6" t="s">
        <v>23</v>
      </c>
      <c r="L7" s="60" t="s">
        <v>26</v>
      </c>
      <c r="M7" s="15">
        <v>60.47</v>
      </c>
      <c r="N7" s="16">
        <f>TRUNC(0.2453/2*((M7-120)^2+(M7-120+0)^2)-0)</f>
        <v>869</v>
      </c>
      <c r="O7" s="60" t="s">
        <v>27</v>
      </c>
      <c r="P7" s="18">
        <v>67.33</v>
      </c>
      <c r="Q7" s="19">
        <f>TRUNC(0.2453/2*((P7-120)^2+(P7-120+0)^2)-0)</f>
        <v>680</v>
      </c>
      <c r="R7" s="20">
        <f t="shared" si="2"/>
        <v>1549</v>
      </c>
      <c r="S7" s="19">
        <f t="shared" si="3"/>
        <v>4822</v>
      </c>
    </row>
    <row r="8" spans="1:19" s="21" customFormat="1" ht="45" customHeight="1" x14ac:dyDescent="0.2">
      <c r="A8" s="6" t="s">
        <v>28</v>
      </c>
      <c r="B8" s="79" t="s">
        <v>29</v>
      </c>
      <c r="C8" s="26">
        <v>1.5825</v>
      </c>
      <c r="D8" s="9">
        <f>TRUNC(0.18778*(100*(C8-TRUNC(C8))+TRUNC(C8)*60-184)^2)</f>
        <v>811</v>
      </c>
      <c r="E8" s="66" t="s">
        <v>30</v>
      </c>
      <c r="F8" s="27">
        <v>2.04</v>
      </c>
      <c r="G8" s="12">
        <f>TRUNC(0.18778*(100*(F8-TRUNC(F8))+TRUNC(F8)*60-184)^2)</f>
        <v>676</v>
      </c>
      <c r="H8" s="12">
        <f t="shared" si="0"/>
        <v>1487</v>
      </c>
      <c r="I8" s="12">
        <f t="shared" si="1"/>
        <v>5769</v>
      </c>
      <c r="J8" s="13"/>
      <c r="K8" s="6" t="s">
        <v>28</v>
      </c>
      <c r="L8" s="79" t="s">
        <v>31</v>
      </c>
      <c r="M8" s="28">
        <v>2.3127</v>
      </c>
      <c r="N8" s="16">
        <f>TRUNC(0.06826*(100*(M8-TRUNC(M8))+TRUNC(M8)*60-250)^2)</f>
        <v>665</v>
      </c>
      <c r="O8" s="64" t="s">
        <v>32</v>
      </c>
      <c r="P8" s="29">
        <v>2.38</v>
      </c>
      <c r="Q8" s="19">
        <f>TRUNC(0.06826*(100*(P8-TRUNC(P8))+TRUNC(P8)*60-250)^2)</f>
        <v>577</v>
      </c>
      <c r="R8" s="20">
        <f t="shared" si="2"/>
        <v>1242</v>
      </c>
      <c r="S8" s="19">
        <f t="shared" si="3"/>
        <v>6064</v>
      </c>
    </row>
    <row r="9" spans="1:19" s="21" customFormat="1" ht="45" customHeight="1" x14ac:dyDescent="0.2">
      <c r="A9" s="77" t="s">
        <v>33</v>
      </c>
      <c r="B9" s="57" t="s">
        <v>34</v>
      </c>
      <c r="C9" s="27">
        <v>4.2184999999999997</v>
      </c>
      <c r="D9" s="9">
        <f>TRUNC(0.04066*(100*(C9-TRUNC(C9))+TRUNC(C9)*60-385)^2)</f>
        <v>616</v>
      </c>
      <c r="E9" s="84" t="s">
        <v>35</v>
      </c>
      <c r="F9" s="27">
        <v>4.3070000000000004</v>
      </c>
      <c r="G9" s="12">
        <f>TRUNC(0.04066*(100*(F9-TRUNC(F9))+TRUNC(F9)*60-385)^2)</f>
        <v>531</v>
      </c>
      <c r="H9" s="12">
        <f>+G9+D9</f>
        <v>1147</v>
      </c>
      <c r="I9" s="12">
        <f t="shared" si="1"/>
        <v>6916</v>
      </c>
      <c r="J9" s="13"/>
      <c r="K9" s="77" t="s">
        <v>33</v>
      </c>
      <c r="L9" s="87" t="s">
        <v>36</v>
      </c>
      <c r="M9" s="78">
        <v>5.2</v>
      </c>
      <c r="N9" s="16">
        <f>TRUNC(0.013457*(100*(M9-TRUNC(M9))+TRUNC(M9)*60-540)^2)</f>
        <v>651</v>
      </c>
      <c r="O9" s="58" t="s">
        <v>37</v>
      </c>
      <c r="P9" s="31">
        <v>5.2804000000000002</v>
      </c>
      <c r="Q9" s="19">
        <f>TRUNC(0.013457*(100*(P9-TRUNC(P9))+TRUNC(P9)*60-540)^2)</f>
        <v>604</v>
      </c>
      <c r="R9" s="20">
        <f t="shared" si="2"/>
        <v>1255</v>
      </c>
      <c r="S9" s="19">
        <f t="shared" si="3"/>
        <v>7319</v>
      </c>
    </row>
    <row r="10" spans="1:19" s="21" customFormat="1" ht="45" customHeight="1" x14ac:dyDescent="0.2">
      <c r="A10" s="6" t="s">
        <v>38</v>
      </c>
      <c r="B10" s="81" t="s">
        <v>39</v>
      </c>
      <c r="C10" s="86">
        <v>8.5202000000000009</v>
      </c>
      <c r="D10" s="82">
        <f>TRUNC(0.008189*(100*(C10-TRUNC(C10))+TRUNC(C10)*60-840)^2)</f>
        <v>776</v>
      </c>
      <c r="E10" s="85" t="s">
        <v>40</v>
      </c>
      <c r="F10" s="27">
        <v>9.3039000000000005</v>
      </c>
      <c r="G10" s="12">
        <f>TRUNC(0.008189*(100*(F10-TRUNC(F10))+TRUNC(F10)*60-840)^2)</f>
        <v>595</v>
      </c>
      <c r="H10" s="12">
        <f t="shared" si="0"/>
        <v>1371</v>
      </c>
      <c r="I10" s="12">
        <f t="shared" si="1"/>
        <v>8287</v>
      </c>
      <c r="J10" s="13"/>
      <c r="K10" s="6" t="s">
        <v>38</v>
      </c>
      <c r="L10" s="80" t="s">
        <v>41</v>
      </c>
      <c r="M10" s="28">
        <v>11.45</v>
      </c>
      <c r="N10" s="16">
        <f>TRUNC(0.002568*(100*(M10-TRUNC(M10))+TRUNC(M10)*60-1200)^2)</f>
        <v>629</v>
      </c>
      <c r="O10" s="58" t="s">
        <v>42</v>
      </c>
      <c r="P10" s="29">
        <v>12.310700000000001</v>
      </c>
      <c r="Q10" s="19">
        <f>TRUNC(0.002568*(100*(P10-TRUNC(P10))+TRUNC(P10)*60-1200)^2)</f>
        <v>517</v>
      </c>
      <c r="R10" s="20">
        <f t="shared" si="2"/>
        <v>1146</v>
      </c>
      <c r="S10" s="19">
        <f t="shared" si="3"/>
        <v>8465</v>
      </c>
    </row>
    <row r="11" spans="1:19" s="21" customFormat="1" ht="45" customHeight="1" x14ac:dyDescent="0.2">
      <c r="A11" s="6" t="s">
        <v>43</v>
      </c>
      <c r="B11" s="59" t="s">
        <v>44</v>
      </c>
      <c r="C11" s="23">
        <v>16.97</v>
      </c>
      <c r="D11" s="9">
        <f>TRUNC(5.58/2*((C11-28)^2+(C11-28+0)^2)-0)</f>
        <v>678</v>
      </c>
      <c r="E11" s="83" t="s">
        <v>45</v>
      </c>
      <c r="F11" s="23">
        <v>17</v>
      </c>
      <c r="G11" s="9">
        <f>TRUNC(5.58/2*((F11-28)^2+(F11-28+0)^2)-0)</f>
        <v>675</v>
      </c>
      <c r="H11" s="12">
        <f>+G11+D11</f>
        <v>1353</v>
      </c>
      <c r="I11" s="12">
        <f t="shared" si="1"/>
        <v>9640</v>
      </c>
      <c r="J11" s="13"/>
      <c r="K11" s="6" t="s">
        <v>46</v>
      </c>
      <c r="L11" s="58" t="s">
        <v>47</v>
      </c>
      <c r="M11" s="15">
        <v>13.43</v>
      </c>
      <c r="N11" s="16">
        <f>TRUNC(3.4273/2*((M11-31.4)^2+(M11-31.4+0)^2)-0)</f>
        <v>1106</v>
      </c>
      <c r="O11" s="58" t="s">
        <v>48</v>
      </c>
      <c r="P11" s="18">
        <v>15.1</v>
      </c>
      <c r="Q11" s="19">
        <f>TRUNC(3.4273/2*((P11-31.4)^2+(P11-31.4+0)^2)-0)</f>
        <v>910</v>
      </c>
      <c r="R11" s="20">
        <f t="shared" si="2"/>
        <v>2016</v>
      </c>
      <c r="S11" s="19">
        <f t="shared" si="3"/>
        <v>10481</v>
      </c>
    </row>
    <row r="12" spans="1:19" s="21" customFormat="1" ht="45" customHeight="1" x14ac:dyDescent="0.2">
      <c r="A12" s="6" t="s">
        <v>49</v>
      </c>
      <c r="B12" s="65" t="s">
        <v>50</v>
      </c>
      <c r="C12" s="23">
        <v>65</v>
      </c>
      <c r="D12" s="9">
        <f>TRUNC(0.4192/2*((C12-102)^2+(C12-102+0)^2)-0)</f>
        <v>573</v>
      </c>
      <c r="E12" s="58" t="s">
        <v>51</v>
      </c>
      <c r="F12" s="24">
        <v>60.74</v>
      </c>
      <c r="G12" s="12">
        <f>TRUNC(0.4192/2*((F12-102)^2+(F12-102+0)^2)-0)</f>
        <v>713</v>
      </c>
      <c r="H12" s="12">
        <f t="shared" si="0"/>
        <v>1286</v>
      </c>
      <c r="I12" s="12">
        <f t="shared" si="1"/>
        <v>10926</v>
      </c>
      <c r="J12" s="13"/>
      <c r="K12" s="6" t="s">
        <v>49</v>
      </c>
      <c r="L12" s="58" t="s">
        <v>52</v>
      </c>
      <c r="M12" s="15">
        <v>69.45</v>
      </c>
      <c r="N12" s="32">
        <f>TRUNC(0.1637/2*((M12-140)^2+(M12-140+0)^2)-0)</f>
        <v>814</v>
      </c>
      <c r="O12" s="59" t="s">
        <v>53</v>
      </c>
      <c r="P12" s="18">
        <v>72.28</v>
      </c>
      <c r="Q12" s="34">
        <f>TRUNC(0.1637/2*((P12-140)^2+(P12-140+0)^2)-0)</f>
        <v>750</v>
      </c>
      <c r="R12" s="20">
        <f t="shared" si="2"/>
        <v>1564</v>
      </c>
      <c r="S12" s="19">
        <f t="shared" si="3"/>
        <v>12045</v>
      </c>
    </row>
    <row r="13" spans="1:19" s="21" customFormat="1" ht="45" customHeight="1" x14ac:dyDescent="0.2">
      <c r="A13" s="6" t="s">
        <v>54</v>
      </c>
      <c r="B13" s="58" t="s">
        <v>55</v>
      </c>
      <c r="C13" s="23">
        <v>10.3453</v>
      </c>
      <c r="D13" s="9">
        <f>TRUNC(0.00376*((60*TRUNC(C13))+(100*(C13-TRUNC(C13)))-1060)^2)</f>
        <v>680</v>
      </c>
      <c r="E13" s="58" t="s">
        <v>56</v>
      </c>
      <c r="F13" s="24">
        <v>10.3667</v>
      </c>
      <c r="G13" s="12">
        <f>TRUNC(0.00376*((60*TRUNC(F13))+(100*(F13-TRUNC(F13)))-1060)^2)</f>
        <v>673</v>
      </c>
      <c r="H13" s="12">
        <f t="shared" si="0"/>
        <v>1353</v>
      </c>
      <c r="I13" s="12">
        <f t="shared" si="1"/>
        <v>12279</v>
      </c>
      <c r="J13" s="13"/>
      <c r="K13" s="6" t="s">
        <v>57</v>
      </c>
      <c r="L13" s="61" t="s">
        <v>58</v>
      </c>
      <c r="M13" s="28">
        <v>18</v>
      </c>
      <c r="N13" s="16">
        <f>TRUNC(0.0006648*((60*TRUNC(M13))+(100*(M13-TRUNC(M13)))-2073)^2)</f>
        <v>655</v>
      </c>
      <c r="O13" s="61" t="s">
        <v>59</v>
      </c>
      <c r="P13" s="28">
        <v>24.420300000000001</v>
      </c>
      <c r="Q13" s="19">
        <f>TRUNC(0.0006648*((60*TRUNC(P13))+(100*(P13-TRUNC(P13)))-2073)^2)</f>
        <v>232</v>
      </c>
      <c r="R13" s="20">
        <f t="shared" si="2"/>
        <v>887</v>
      </c>
      <c r="S13" s="19">
        <f t="shared" si="3"/>
        <v>12932</v>
      </c>
    </row>
    <row r="14" spans="1:19" s="21" customFormat="1" ht="45" customHeight="1" x14ac:dyDescent="0.2">
      <c r="A14" s="6" t="s">
        <v>60</v>
      </c>
      <c r="B14" s="59" t="s">
        <v>61</v>
      </c>
      <c r="C14" s="23">
        <v>27.0502</v>
      </c>
      <c r="D14" s="9">
        <f>TRUNC(0.000212*(100*(C14-TRUNC(C14))+TRUNC(C14)*60-3470)^2)-1</f>
        <v>720</v>
      </c>
      <c r="E14" s="58" t="s">
        <v>62</v>
      </c>
      <c r="F14" s="24">
        <v>31.088999999999999</v>
      </c>
      <c r="G14" s="12">
        <f>TRUNC(0.000212*(100*(F14-TRUNC(F14))+TRUNC(F14)*60-3470)^2)-1</f>
        <v>542</v>
      </c>
      <c r="H14" s="12">
        <f t="shared" si="0"/>
        <v>1262</v>
      </c>
      <c r="I14" s="12">
        <f t="shared" si="1"/>
        <v>13541</v>
      </c>
      <c r="J14" s="13"/>
      <c r="K14" s="6" t="s">
        <v>63</v>
      </c>
      <c r="L14" s="58" t="s">
        <v>64</v>
      </c>
      <c r="M14" s="15">
        <v>1.3</v>
      </c>
      <c r="N14" s="32">
        <f>TRUNC(49.489/2*((M14+9.2)^2+(M14+9.2+0.01)^2)-5000)</f>
        <v>461</v>
      </c>
      <c r="O14" s="59" t="s">
        <v>65</v>
      </c>
      <c r="P14" s="18">
        <v>1.3</v>
      </c>
      <c r="Q14" s="20">
        <f>TRUNC(49.489/2*((P14+9.2)^2+(P14+9.2+0.01)^2)-5000)</f>
        <v>461</v>
      </c>
      <c r="R14" s="20">
        <f t="shared" si="2"/>
        <v>922</v>
      </c>
      <c r="S14" s="19">
        <f t="shared" si="3"/>
        <v>13854</v>
      </c>
    </row>
    <row r="15" spans="1:19" s="21" customFormat="1" ht="45" customHeight="1" x14ac:dyDescent="0.2">
      <c r="A15" s="6" t="s">
        <v>63</v>
      </c>
      <c r="B15" s="59" t="s">
        <v>44</v>
      </c>
      <c r="C15" s="23">
        <v>1.85</v>
      </c>
      <c r="D15" s="35">
        <f>TRUNC(39.4106/2*((C15+10.2)^2+(C15+10.2+0.01)^2)-5000)</f>
        <v>727</v>
      </c>
      <c r="E15" s="58" t="s">
        <v>45</v>
      </c>
      <c r="F15" s="24">
        <v>1.75</v>
      </c>
      <c r="G15" s="36">
        <f>TRUNC(39.4106/2*((F15+10.2)^2+(F15+10.2+0.01)^2)-5000)</f>
        <v>632</v>
      </c>
      <c r="H15" s="12">
        <f t="shared" si="0"/>
        <v>1359</v>
      </c>
      <c r="I15" s="12">
        <f t="shared" si="1"/>
        <v>14900</v>
      </c>
      <c r="J15" s="13"/>
      <c r="K15" s="6" t="s">
        <v>66</v>
      </c>
      <c r="L15" s="62" t="s">
        <v>67</v>
      </c>
      <c r="M15" s="15">
        <v>4.62</v>
      </c>
      <c r="N15" s="32">
        <f>TRUNC(2.29455/2*((M15+45)^2+(M15+45+0.01)^2)-5000)</f>
        <v>650</v>
      </c>
      <c r="O15" s="58" t="s">
        <v>21</v>
      </c>
      <c r="P15" s="18">
        <v>4.74</v>
      </c>
      <c r="Q15" s="34">
        <f>TRUNC(2.29455/2*((P15+45)^2+(P15+45+0.01)^2)-5000)</f>
        <v>678</v>
      </c>
      <c r="R15" s="20">
        <f t="shared" si="2"/>
        <v>1328</v>
      </c>
      <c r="S15" s="19">
        <f t="shared" si="3"/>
        <v>15182</v>
      </c>
    </row>
    <row r="16" spans="1:19" s="21" customFormat="1" ht="45" customHeight="1" x14ac:dyDescent="0.2">
      <c r="A16" s="6" t="s">
        <v>66</v>
      </c>
      <c r="B16" s="58" t="s">
        <v>68</v>
      </c>
      <c r="C16" s="23">
        <v>5.92</v>
      </c>
      <c r="D16" s="9">
        <f>TRUNC(1.82116/2*((C16+50)^2+(C16+50+0.01)^2)-5000)</f>
        <v>695</v>
      </c>
      <c r="E16" s="65" t="s">
        <v>14</v>
      </c>
      <c r="F16" s="24">
        <v>6</v>
      </c>
      <c r="G16" s="12">
        <f>TRUNC(1.82116/2*((F16+50)^2+(F16+50+0.01)^2)-5000)</f>
        <v>712</v>
      </c>
      <c r="H16" s="12">
        <f t="shared" si="0"/>
        <v>1407</v>
      </c>
      <c r="I16" s="12">
        <f t="shared" si="1"/>
        <v>16307</v>
      </c>
      <c r="J16" s="13"/>
      <c r="K16" s="6" t="s">
        <v>69</v>
      </c>
      <c r="L16" s="58" t="s">
        <v>22</v>
      </c>
      <c r="M16" s="37">
        <v>9.84</v>
      </c>
      <c r="N16" s="16">
        <f>TRUNC(0.5438/2*((M16+92)^2+(M16+92+0.01)^2)-5000)</f>
        <v>640</v>
      </c>
      <c r="O16" s="61" t="s">
        <v>70</v>
      </c>
      <c r="P16" s="38">
        <v>9.8000000000000007</v>
      </c>
      <c r="Q16" s="19">
        <f>TRUNC(0.5438/2*((P16+92)^2+(P16+92+0.01)^2)-5000)</f>
        <v>636</v>
      </c>
      <c r="R16" s="20">
        <f t="shared" si="2"/>
        <v>1276</v>
      </c>
      <c r="S16" s="19">
        <f t="shared" si="3"/>
        <v>16458</v>
      </c>
    </row>
    <row r="17" spans="1:19" s="21" customFormat="1" ht="45" customHeight="1" x14ac:dyDescent="0.2">
      <c r="A17" s="6" t="s">
        <v>69</v>
      </c>
      <c r="B17" s="59" t="s">
        <v>71</v>
      </c>
      <c r="C17" s="23">
        <v>12.45</v>
      </c>
      <c r="D17" s="9">
        <f>TRUNC(0.47301/2*((C17+97)^2+(C17+97+0.01)^2)-5000)</f>
        <v>666</v>
      </c>
      <c r="E17" s="58" t="s">
        <v>25</v>
      </c>
      <c r="F17" s="39">
        <v>11.92</v>
      </c>
      <c r="G17" s="12">
        <f>TRUNC(0.47301/2*((F17+97)^2+(F17+97+0.01)^2)-5000)</f>
        <v>612</v>
      </c>
      <c r="H17" s="12">
        <f t="shared" si="0"/>
        <v>1278</v>
      </c>
      <c r="I17" s="12">
        <f t="shared" si="1"/>
        <v>17585</v>
      </c>
      <c r="J17" s="13"/>
      <c r="K17" s="6" t="s">
        <v>72</v>
      </c>
      <c r="L17" s="58" t="s">
        <v>48</v>
      </c>
      <c r="M17" s="15">
        <v>2.8</v>
      </c>
      <c r="N17" s="16">
        <f>TRUNC(5.3339/2*((M17+29.5)^2+(M17+29.5+0.01)^2)-5000)</f>
        <v>566</v>
      </c>
      <c r="O17" s="59" t="s">
        <v>53</v>
      </c>
      <c r="P17" s="18">
        <v>2.4</v>
      </c>
      <c r="Q17" s="19">
        <f>TRUNC(5.3339/2*((P17+29.5)^2+(P17+29.5+0.01)^2)-5000)</f>
        <v>429</v>
      </c>
      <c r="R17" s="20">
        <f t="shared" si="2"/>
        <v>995</v>
      </c>
      <c r="S17" s="19">
        <f t="shared" si="3"/>
        <v>17453</v>
      </c>
    </row>
    <row r="18" spans="1:19" s="21" customFormat="1" ht="45" customHeight="1" x14ac:dyDescent="0.2">
      <c r="A18" s="6" t="s">
        <v>72</v>
      </c>
      <c r="B18" s="59" t="s">
        <v>73</v>
      </c>
      <c r="C18" s="23">
        <v>3.8</v>
      </c>
      <c r="D18" s="9">
        <f>TRUNC(3.3771/2*((C18+37)^2+(C18+37+0.01)^2)-5000)</f>
        <v>623</v>
      </c>
      <c r="E18" s="61" t="s">
        <v>74</v>
      </c>
      <c r="F18" s="24">
        <v>3.6</v>
      </c>
      <c r="G18" s="12">
        <f>TRUNC(3.3771/2*((F18+37)^2+(F18+37+0.01)^2)-5000)</f>
        <v>568</v>
      </c>
      <c r="H18" s="12">
        <f t="shared" si="0"/>
        <v>1191</v>
      </c>
      <c r="I18" s="12">
        <f t="shared" si="1"/>
        <v>18776</v>
      </c>
      <c r="J18" s="13"/>
      <c r="K18" s="6" t="s">
        <v>75</v>
      </c>
      <c r="L18" s="58" t="s">
        <v>76</v>
      </c>
      <c r="M18" s="18">
        <v>7.52</v>
      </c>
      <c r="N18" s="16">
        <f>TRUNC(0.04631/2*((M18+656)^2+(M18+656+0.01)^2)-20000)</f>
        <v>388</v>
      </c>
      <c r="O18" s="64" t="s">
        <v>77</v>
      </c>
      <c r="P18" s="18">
        <v>7.5</v>
      </c>
      <c r="Q18" s="19">
        <f>TRUNC(0.04631/2*((P18+656)^2+(P18+656+0.01)^2)-20000)</f>
        <v>387</v>
      </c>
      <c r="R18" s="20">
        <f t="shared" si="2"/>
        <v>775</v>
      </c>
      <c r="S18" s="19">
        <f t="shared" si="3"/>
        <v>18228</v>
      </c>
    </row>
    <row r="19" spans="1:19" s="21" customFormat="1" ht="45" customHeight="1" x14ac:dyDescent="0.2">
      <c r="A19" s="6" t="s">
        <v>75</v>
      </c>
      <c r="B19" s="61" t="s">
        <v>78</v>
      </c>
      <c r="C19" s="23">
        <v>10.5</v>
      </c>
      <c r="D19" s="9">
        <f>TRUNC(0.04298/2*((C19+681)^2+(C19+681+0.01)^2)-20000)</f>
        <v>552</v>
      </c>
      <c r="E19" s="59" t="s">
        <v>73</v>
      </c>
      <c r="F19" s="24">
        <v>9.69</v>
      </c>
      <c r="G19" s="12">
        <f>TRUNC(0.04298/2*((F19+681)^2+(F19+681+0.01)^2)-20000)</f>
        <v>504</v>
      </c>
      <c r="H19" s="12">
        <f t="shared" si="0"/>
        <v>1056</v>
      </c>
      <c r="I19" s="12">
        <f t="shared" si="1"/>
        <v>19832</v>
      </c>
      <c r="J19" s="13"/>
      <c r="K19" s="6" t="s">
        <v>79</v>
      </c>
      <c r="L19" s="60" t="s">
        <v>80</v>
      </c>
      <c r="M19" s="15">
        <v>27.01</v>
      </c>
      <c r="N19" s="16">
        <f>TRUNC(0.004156/2*((M19+2190)^2+(M19+2190+0.01)^2)-20000)</f>
        <v>427</v>
      </c>
      <c r="O19" s="10" t="s">
        <v>81</v>
      </c>
      <c r="P19" s="18">
        <v>21.08</v>
      </c>
      <c r="Q19" s="19">
        <f>TRUNC(0.004156/2*((P19+2190)^2+(P19+2190+0.01)^2)-20000)</f>
        <v>318</v>
      </c>
      <c r="R19" s="20">
        <f t="shared" si="2"/>
        <v>745</v>
      </c>
      <c r="S19" s="19">
        <f t="shared" si="3"/>
        <v>18973</v>
      </c>
    </row>
    <row r="20" spans="1:19" s="21" customFormat="1" ht="45" customHeight="1" x14ac:dyDescent="0.2">
      <c r="A20" s="6" t="s">
        <v>79</v>
      </c>
      <c r="B20" s="57" t="s">
        <v>82</v>
      </c>
      <c r="C20" s="23">
        <v>38.31</v>
      </c>
      <c r="D20" s="9">
        <f>TRUNC(0.004233/2*((C20+2170)^2+(C20+2170+0.01)^2)-20000)</f>
        <v>642</v>
      </c>
      <c r="E20" s="61" t="s">
        <v>74</v>
      </c>
      <c r="F20" s="24">
        <v>29.15</v>
      </c>
      <c r="G20" s="12">
        <f>TRUNC(0.004233/2*((F20+2170)^2+(F20+2170+0.01)^2)-20000)</f>
        <v>471</v>
      </c>
      <c r="H20" s="12">
        <f t="shared" si="0"/>
        <v>1113</v>
      </c>
      <c r="I20" s="12">
        <f t="shared" si="1"/>
        <v>20945</v>
      </c>
      <c r="J20" s="13"/>
      <c r="K20" s="6" t="s">
        <v>83</v>
      </c>
      <c r="L20" s="57" t="s">
        <v>17</v>
      </c>
      <c r="M20" s="15">
        <v>44.27</v>
      </c>
      <c r="N20" s="32">
        <f>TRUNC(0.004195/2*((M20+2180)^2+(M20+2180+0.01)^2)-20000)</f>
        <v>754</v>
      </c>
      <c r="O20" s="60" t="s">
        <v>27</v>
      </c>
      <c r="P20" s="18">
        <v>32.25</v>
      </c>
      <c r="Q20" s="34">
        <f>TRUNC(0.004195/2*((P20+2180)^2+(P20+2180+0.01)^2)-20000)</f>
        <v>530</v>
      </c>
      <c r="R20" s="20">
        <f t="shared" si="2"/>
        <v>1284</v>
      </c>
      <c r="S20" s="19">
        <f t="shared" si="3"/>
        <v>20257</v>
      </c>
    </row>
    <row r="21" spans="1:19" s="21" customFormat="1" ht="45" customHeight="1" x14ac:dyDescent="0.2">
      <c r="A21" s="6" t="s">
        <v>83</v>
      </c>
      <c r="B21" s="57" t="s">
        <v>84</v>
      </c>
      <c r="C21" s="23">
        <v>55.86</v>
      </c>
      <c r="D21" s="9">
        <f>TRUNC(0.002454/2*((C21+2850)^2+(C21+2850+0.01)^2)-20000)</f>
        <v>721</v>
      </c>
      <c r="E21" s="59" t="s">
        <v>24</v>
      </c>
      <c r="F21" s="24">
        <v>39.229999999999997</v>
      </c>
      <c r="G21" s="12">
        <f>TRUNC(0.002454/2*((F21+2850)^2+(F21+2850+0.01)^2)-20000)</f>
        <v>485</v>
      </c>
      <c r="H21" s="12">
        <f t="shared" si="0"/>
        <v>1206</v>
      </c>
      <c r="I21" s="12">
        <f t="shared" si="1"/>
        <v>22151</v>
      </c>
      <c r="J21" s="13"/>
      <c r="K21" s="6" t="s">
        <v>85</v>
      </c>
      <c r="L21" s="59" t="s">
        <v>86</v>
      </c>
      <c r="M21" s="15">
        <v>29.52</v>
      </c>
      <c r="N21" s="32">
        <f>TRUNC(0.00364/2*((M21+2340)^2+(M21+2340+0.01)^2)-20000)</f>
        <v>437</v>
      </c>
      <c r="O21" s="61" t="s">
        <v>87</v>
      </c>
      <c r="P21" s="18">
        <v>22</v>
      </c>
      <c r="Q21" s="34">
        <f>TRUNC(0.00364/2*((P21+2340)^2+(P21+2340+0.01)^2)-20000)</f>
        <v>307</v>
      </c>
      <c r="R21" s="20">
        <f t="shared" si="2"/>
        <v>744</v>
      </c>
      <c r="S21" s="19">
        <f t="shared" si="3"/>
        <v>21001</v>
      </c>
    </row>
    <row r="22" spans="1:19" s="21" customFormat="1" ht="45" customHeight="1" x14ac:dyDescent="0.2">
      <c r="A22" s="6" t="s">
        <v>85</v>
      </c>
      <c r="B22" s="57" t="s">
        <v>88</v>
      </c>
      <c r="C22" s="40">
        <v>38.74</v>
      </c>
      <c r="D22" s="9">
        <f>TRUNC(0.0029488/2*((C22+2600)^2+(C22+2600+0.01)^2)-20000)</f>
        <v>532</v>
      </c>
      <c r="E22" s="59" t="s">
        <v>89</v>
      </c>
      <c r="F22" s="24">
        <v>35.42</v>
      </c>
      <c r="G22" s="12">
        <f>TRUNC(0.0029488/2*((F22+2600)^2+(F22+2600+0.01)^2)-20000)</f>
        <v>480</v>
      </c>
      <c r="H22" s="12">
        <f t="shared" si="0"/>
        <v>1012</v>
      </c>
      <c r="I22" s="12">
        <f t="shared" si="1"/>
        <v>23163</v>
      </c>
      <c r="J22" s="13"/>
      <c r="K22" s="6" t="s">
        <v>90</v>
      </c>
      <c r="L22" s="41" t="s">
        <v>91</v>
      </c>
      <c r="M22" s="15">
        <v>50.55</v>
      </c>
      <c r="N22" s="16">
        <f>TRUNC(0.3954/2*((M22-98)^2+(M22-98+0)^2)-0)</f>
        <v>890</v>
      </c>
      <c r="O22" s="41" t="s">
        <v>92</v>
      </c>
      <c r="P22" s="29">
        <v>4.1026999999999996</v>
      </c>
      <c r="Q22" s="19">
        <f>TRUNC(0.01562*(100*(P22-TRUNC(P22))+TRUNC(P22)*60-480)^2)</f>
        <v>824</v>
      </c>
      <c r="R22" s="20">
        <f t="shared" si="2"/>
        <v>1714</v>
      </c>
      <c r="S22" s="19">
        <f t="shared" si="3"/>
        <v>22715</v>
      </c>
    </row>
    <row r="23" spans="1:19" s="21" customFormat="1" ht="45" customHeight="1" x14ac:dyDescent="0.2">
      <c r="A23" s="6" t="s">
        <v>90</v>
      </c>
      <c r="B23" s="42" t="s">
        <v>93</v>
      </c>
      <c r="C23" s="43">
        <v>44.56</v>
      </c>
      <c r="D23" s="9">
        <f>TRUNC(1.2019/2*((C23-70)^2+(C23-70+0)^2)-0)</f>
        <v>777</v>
      </c>
      <c r="E23" s="10" t="s">
        <v>94</v>
      </c>
      <c r="F23" s="27">
        <v>3.3220999999999998</v>
      </c>
      <c r="G23" s="12">
        <f>TRUNC(0.05404*(100*(F23-TRUNC(F23))+TRUNC(F23)*60-328)^2)</f>
        <v>724</v>
      </c>
      <c r="H23" s="12">
        <f t="shared" si="0"/>
        <v>1501</v>
      </c>
      <c r="I23" s="12">
        <f t="shared" si="1"/>
        <v>24664</v>
      </c>
      <c r="J23" s="44"/>
      <c r="K23" s="45"/>
      <c r="L23" s="46"/>
      <c r="M23" s="46"/>
      <c r="N23" s="46"/>
      <c r="O23" s="47"/>
      <c r="P23" s="46"/>
      <c r="Q23" s="46"/>
      <c r="R23" s="48" t="s">
        <v>95</v>
      </c>
      <c r="S23" s="49">
        <f>+I23+S22</f>
        <v>47379</v>
      </c>
    </row>
    <row r="24" spans="1:19" s="68" customFormat="1" ht="25.5" customHeight="1" x14ac:dyDescent="0.35">
      <c r="A24" s="67" t="s">
        <v>96</v>
      </c>
      <c r="K24" s="67" t="s">
        <v>97</v>
      </c>
    </row>
    <row r="25" spans="1:19" s="68" customFormat="1" ht="25.5" customHeight="1" x14ac:dyDescent="0.35">
      <c r="A25" s="67" t="s">
        <v>98</v>
      </c>
      <c r="K25" s="67" t="s">
        <v>99</v>
      </c>
    </row>
    <row r="26" spans="1:19" s="68" customFormat="1" ht="25.5" customHeight="1" x14ac:dyDescent="0.3">
      <c r="A26" s="69" t="s">
        <v>100</v>
      </c>
      <c r="K26" s="73" t="s">
        <v>101</v>
      </c>
    </row>
    <row r="27" spans="1:19" s="68" customFormat="1" ht="25.5" customHeight="1" x14ac:dyDescent="0.3">
      <c r="A27" s="70" t="s">
        <v>102</v>
      </c>
      <c r="K27" s="70"/>
    </row>
    <row r="28" spans="1:19" s="68" customFormat="1" ht="25.5" customHeight="1" x14ac:dyDescent="0.3">
      <c r="A28" s="70" t="s">
        <v>103</v>
      </c>
      <c r="B28" s="71"/>
      <c r="K28" s="70"/>
    </row>
    <row r="29" spans="1:19" s="68" customFormat="1" ht="25.5" customHeight="1" x14ac:dyDescent="0.3">
      <c r="A29" s="72" t="s">
        <v>104</v>
      </c>
      <c r="K29" s="70"/>
    </row>
    <row r="30" spans="1:19" s="68" customFormat="1" ht="25.5" customHeight="1" x14ac:dyDescent="0.3">
      <c r="A30" s="73" t="s">
        <v>105</v>
      </c>
      <c r="E30" s="1"/>
      <c r="F30" s="1"/>
      <c r="G30" s="1"/>
      <c r="K30" s="74"/>
    </row>
    <row r="31" spans="1:19" s="68" customFormat="1" ht="25.5" customHeight="1" x14ac:dyDescent="0.3">
      <c r="A31" s="75"/>
      <c r="E31" s="1"/>
      <c r="F31" s="1"/>
      <c r="G31" s="1"/>
      <c r="K31" s="76"/>
    </row>
    <row r="32" spans="1:19" s="68" customFormat="1" ht="25.5" customHeight="1" x14ac:dyDescent="0.2">
      <c r="A32" s="75"/>
      <c r="E32" s="1"/>
      <c r="F32" s="1"/>
      <c r="G32" s="1"/>
    </row>
  </sheetData>
  <mergeCells count="4">
    <mergeCell ref="A1:S1"/>
    <mergeCell ref="A3:I3"/>
    <mergeCell ref="K3:S3"/>
    <mergeCell ref="A2:S2"/>
  </mergeCells>
  <printOptions horizontalCentered="1" verticalCentered="1" gridLinesSet="0"/>
  <pageMargins left="0" right="0" top="0" bottom="0.19685039370078741" header="0" footer="0"/>
  <pageSetup paperSize="9" scale="45" orientation="landscape" horizontalDpi="300" verticalDpi="300" r:id="rId1"/>
  <headerFooter alignWithMargins="0">
    <oddFooter>&amp;C&amp;F    &amp;A 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showGridLines="0" topLeftCell="A4" zoomScale="40" zoomScaleNormal="40" workbookViewId="0">
      <selection activeCell="A2" sqref="A2:I2"/>
    </sheetView>
  </sheetViews>
  <sheetFormatPr baseColWidth="10" defaultColWidth="11.42578125" defaultRowHeight="12.75" x14ac:dyDescent="0.2"/>
  <cols>
    <col min="1" max="1" width="24.7109375" style="52" customWidth="1"/>
    <col min="2" max="2" width="35.42578125" style="1" customWidth="1"/>
    <col min="3" max="3" width="16.42578125" style="1" customWidth="1"/>
    <col min="4" max="4" width="11.42578125" style="1" customWidth="1"/>
    <col min="5" max="5" width="29.7109375" style="1" customWidth="1"/>
    <col min="6" max="6" width="14.5703125" style="1" customWidth="1"/>
    <col min="7" max="7" width="12.7109375" style="1" customWidth="1"/>
    <col min="8" max="8" width="14.28515625" style="1" customWidth="1"/>
    <col min="9" max="9" width="15.7109375" style="1" customWidth="1"/>
    <col min="10" max="10" width="5.85546875" style="1" customWidth="1"/>
    <col min="11" max="11" width="25.140625" style="1" customWidth="1"/>
    <col min="12" max="12" width="32.5703125" style="1" customWidth="1"/>
    <col min="13" max="13" width="17.140625" style="1" customWidth="1"/>
    <col min="14" max="14" width="12.28515625" style="1" customWidth="1"/>
    <col min="15" max="15" width="32" style="1" customWidth="1"/>
    <col min="16" max="16" width="16.28515625" style="1" customWidth="1"/>
    <col min="17" max="17" width="11.85546875" style="1" customWidth="1"/>
    <col min="18" max="18" width="10.5703125" style="1" customWidth="1"/>
    <col min="19" max="19" width="18" style="1" customWidth="1"/>
    <col min="20" max="20" width="4.7109375" style="1" customWidth="1"/>
    <col min="21" max="16384" width="11.42578125" style="1"/>
  </cols>
  <sheetData>
    <row r="1" spans="1:19" ht="61.5" customHeight="1" x14ac:dyDescent="0.2">
      <c r="A1" s="88" t="s">
        <v>106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90"/>
    </row>
    <row r="2" spans="1:19" ht="33.75" customHeight="1" x14ac:dyDescent="0.35">
      <c r="A2" s="91" t="s">
        <v>2</v>
      </c>
      <c r="B2" s="91"/>
      <c r="C2" s="91"/>
      <c r="D2" s="91"/>
      <c r="E2" s="91"/>
      <c r="F2" s="91"/>
      <c r="G2" s="91"/>
      <c r="H2" s="91"/>
      <c r="I2" s="91"/>
      <c r="J2" s="2"/>
      <c r="K2" s="92" t="s">
        <v>3</v>
      </c>
      <c r="L2" s="92"/>
      <c r="M2" s="92"/>
      <c r="N2" s="92"/>
      <c r="O2" s="92"/>
      <c r="P2" s="92"/>
      <c r="Q2" s="92"/>
      <c r="R2" s="92"/>
      <c r="S2" s="92"/>
    </row>
    <row r="3" spans="1:19" ht="39.75" customHeight="1" x14ac:dyDescent="0.2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6</v>
      </c>
      <c r="G3" s="3" t="s">
        <v>7</v>
      </c>
      <c r="H3" s="3" t="s">
        <v>9</v>
      </c>
      <c r="I3" s="4"/>
      <c r="J3" s="5"/>
      <c r="K3" s="3" t="s">
        <v>10</v>
      </c>
      <c r="L3" s="3" t="s">
        <v>5</v>
      </c>
      <c r="M3" s="3" t="s">
        <v>11</v>
      </c>
      <c r="N3" s="3" t="s">
        <v>7</v>
      </c>
      <c r="O3" s="3" t="s">
        <v>5</v>
      </c>
      <c r="P3" s="3" t="s">
        <v>12</v>
      </c>
      <c r="Q3" s="3" t="s">
        <v>7</v>
      </c>
      <c r="R3" s="3" t="s">
        <v>9</v>
      </c>
      <c r="S3" s="4"/>
    </row>
    <row r="4" spans="1:19" s="21" customFormat="1" ht="45" customHeight="1" x14ac:dyDescent="0.2">
      <c r="A4" s="6" t="s">
        <v>13</v>
      </c>
      <c r="B4" s="7" t="s">
        <v>71</v>
      </c>
      <c r="C4" s="8">
        <v>12.33</v>
      </c>
      <c r="D4" s="9">
        <f>TRUNC(21.77/2*((C4-17.5)^2+(C4-17.5+0)^2)-0)</f>
        <v>581</v>
      </c>
      <c r="E4" s="10" t="s">
        <v>19</v>
      </c>
      <c r="F4" s="11">
        <v>11.48</v>
      </c>
      <c r="G4" s="12">
        <f>TRUNC(21.77/2*((F4-17.5)^2+(F4-17.5+0)^2)-0)</f>
        <v>788</v>
      </c>
      <c r="H4" s="12">
        <f t="shared" ref="H4:H22" si="0">+G4+D4</f>
        <v>1369</v>
      </c>
      <c r="I4" s="12">
        <f t="shared" ref="I4:I22" si="1">+I3+H4</f>
        <v>1369</v>
      </c>
      <c r="J4" s="13"/>
      <c r="K4" s="6" t="s">
        <v>13</v>
      </c>
      <c r="L4" s="14" t="s">
        <v>67</v>
      </c>
      <c r="M4" s="15">
        <v>14.1</v>
      </c>
      <c r="N4" s="16">
        <f>TRUNC(6.5713/2*((M4-24.5)^2+(M4-24.5+0)^2)-0)</f>
        <v>710</v>
      </c>
      <c r="O4" s="17" t="s">
        <v>17</v>
      </c>
      <c r="P4" s="18">
        <v>13.94</v>
      </c>
      <c r="Q4" s="19">
        <f>TRUNC(6.5713/2*((P4-24.5)^2+(P4-24.5+0)^2)-0)</f>
        <v>732</v>
      </c>
      <c r="R4" s="20">
        <f t="shared" ref="R4:R21" si="2">+Q4+N4</f>
        <v>1442</v>
      </c>
      <c r="S4" s="19">
        <f t="shared" ref="S4:S21" si="3">+S3+R4</f>
        <v>1442</v>
      </c>
    </row>
    <row r="5" spans="1:19" s="21" customFormat="1" ht="45" customHeight="1" x14ac:dyDescent="0.2">
      <c r="A5" s="6" t="s">
        <v>18</v>
      </c>
      <c r="B5" s="10" t="s">
        <v>15</v>
      </c>
      <c r="C5" s="8">
        <v>24.65</v>
      </c>
      <c r="D5" s="9">
        <f>TRUNC(4.799/2*((C5-36)^2+(C5-36+0)^2)-0)</f>
        <v>618</v>
      </c>
      <c r="E5" s="10" t="s">
        <v>107</v>
      </c>
      <c r="F5" s="11">
        <v>24.12</v>
      </c>
      <c r="G5" s="12">
        <f>TRUNC(4.799/2*((F5-36)^2+(F5-36+0)^2)-0)</f>
        <v>677</v>
      </c>
      <c r="H5" s="12">
        <f t="shared" si="0"/>
        <v>1295</v>
      </c>
      <c r="I5" s="12">
        <f t="shared" si="1"/>
        <v>2664</v>
      </c>
      <c r="J5" s="13"/>
      <c r="K5" s="6" t="s">
        <v>18</v>
      </c>
      <c r="L5" s="22" t="s">
        <v>21</v>
      </c>
      <c r="M5" s="15">
        <v>25.81</v>
      </c>
      <c r="N5" s="16">
        <f>TRUNC(1.2685/2*((M5-53)^2+(M5-53+0)^2)-0)</f>
        <v>937</v>
      </c>
      <c r="O5" s="22" t="s">
        <v>22</v>
      </c>
      <c r="P5" s="18">
        <v>26.82</v>
      </c>
      <c r="Q5" s="19">
        <f>TRUNC(1.2685/2*((P5-53)^2+(P5-53+0)^2)-0)</f>
        <v>869</v>
      </c>
      <c r="R5" s="20">
        <f t="shared" si="2"/>
        <v>1806</v>
      </c>
      <c r="S5" s="19">
        <f t="shared" si="3"/>
        <v>3248</v>
      </c>
    </row>
    <row r="6" spans="1:19" s="21" customFormat="1" ht="45" customHeight="1" x14ac:dyDescent="0.2">
      <c r="A6" s="6" t="s">
        <v>23</v>
      </c>
      <c r="B6" s="7" t="s">
        <v>24</v>
      </c>
      <c r="C6" s="23">
        <v>50.85</v>
      </c>
      <c r="D6" s="9">
        <f>TRUNC(0.8582/2*((C6-82)^2+(C6-82+0)^2)-0)</f>
        <v>832</v>
      </c>
      <c r="E6" s="10" t="s">
        <v>25</v>
      </c>
      <c r="F6" s="24">
        <v>53.23</v>
      </c>
      <c r="G6" s="12">
        <f>TRUNC(0.8582/2*((F6-82)^2+(F6-82+0)^2)-0)</f>
        <v>710</v>
      </c>
      <c r="H6" s="12">
        <f t="shared" si="0"/>
        <v>1542</v>
      </c>
      <c r="I6" s="12">
        <f t="shared" si="1"/>
        <v>4206</v>
      </c>
      <c r="J6" s="13"/>
      <c r="K6" s="6" t="s">
        <v>23</v>
      </c>
      <c r="L6" s="25" t="s">
        <v>26</v>
      </c>
      <c r="M6" s="15">
        <v>60.47</v>
      </c>
      <c r="N6" s="16">
        <f>TRUNC(0.2453/2*((M6-120)^2+(M6-120+0)^2)-0)</f>
        <v>869</v>
      </c>
      <c r="O6" s="25" t="s">
        <v>27</v>
      </c>
      <c r="P6" s="18">
        <v>67.33</v>
      </c>
      <c r="Q6" s="19">
        <f>TRUNC(0.2453/2*((P6-120)^2+(P6-120+0)^2)-0)</f>
        <v>680</v>
      </c>
      <c r="R6" s="20">
        <f t="shared" si="2"/>
        <v>1549</v>
      </c>
      <c r="S6" s="19">
        <f t="shared" si="3"/>
        <v>4797</v>
      </c>
    </row>
    <row r="7" spans="1:19" s="21" customFormat="1" ht="45" customHeight="1" x14ac:dyDescent="0.2">
      <c r="A7" s="6" t="s">
        <v>28</v>
      </c>
      <c r="B7" s="10" t="s">
        <v>29</v>
      </c>
      <c r="C7" s="26">
        <v>1.5825</v>
      </c>
      <c r="D7" s="9">
        <f>TRUNC(0.18778*(100*(C7-TRUNC(C7))+TRUNC(C7)*60-184)^2)</f>
        <v>811</v>
      </c>
      <c r="E7" s="7" t="s">
        <v>20</v>
      </c>
      <c r="F7" s="27">
        <v>2.0657999999999999</v>
      </c>
      <c r="G7" s="12">
        <f>TRUNC(0.18778*(100*(F7-TRUNC(F7))+TRUNC(F7)*60-184)^2)</f>
        <v>619</v>
      </c>
      <c r="H7" s="12">
        <f t="shared" si="0"/>
        <v>1430</v>
      </c>
      <c r="I7" s="12">
        <f t="shared" si="1"/>
        <v>5636</v>
      </c>
      <c r="J7" s="13"/>
      <c r="K7" s="6" t="s">
        <v>28</v>
      </c>
      <c r="L7" s="22" t="s">
        <v>31</v>
      </c>
      <c r="M7" s="28">
        <v>2.3127</v>
      </c>
      <c r="N7" s="16">
        <f>TRUNC(0.06826*(100*(M7-TRUNC(M7))+TRUNC(M7)*60-250)^2)</f>
        <v>665</v>
      </c>
      <c r="O7" s="25" t="s">
        <v>36</v>
      </c>
      <c r="P7" s="29">
        <v>2.3433000000000002</v>
      </c>
      <c r="Q7" s="19">
        <f>TRUNC(0.06826*(100*(P7-TRUNC(P7))+TRUNC(P7)*60-250)^2)</f>
        <v>624</v>
      </c>
      <c r="R7" s="20">
        <f t="shared" si="2"/>
        <v>1289</v>
      </c>
      <c r="S7" s="19">
        <f t="shared" si="3"/>
        <v>6086</v>
      </c>
    </row>
    <row r="8" spans="1:19" s="21" customFormat="1" ht="45" customHeight="1" x14ac:dyDescent="0.2">
      <c r="A8" s="6" t="s">
        <v>33</v>
      </c>
      <c r="B8" s="10" t="s">
        <v>108</v>
      </c>
      <c r="C8" s="26">
        <v>4.1555</v>
      </c>
      <c r="D8" s="9">
        <f>TRUNC(0.04066*(100*(C8-TRUNC(C8))+TRUNC(C8)*60-385)^2)</f>
        <v>681</v>
      </c>
      <c r="E8" s="30" t="s">
        <v>34</v>
      </c>
      <c r="F8" s="27">
        <v>4.2184999999999997</v>
      </c>
      <c r="G8" s="12">
        <f>TRUNC(0.04066*(100*(F8-TRUNC(F8))+TRUNC(F8)*60-385)^2)</f>
        <v>616</v>
      </c>
      <c r="H8" s="12">
        <f>+G8+D8</f>
        <v>1297</v>
      </c>
      <c r="I8" s="12">
        <f t="shared" si="1"/>
        <v>6933</v>
      </c>
      <c r="J8" s="13"/>
      <c r="K8" s="6" t="s">
        <v>33</v>
      </c>
      <c r="L8" s="25" t="s">
        <v>80</v>
      </c>
      <c r="M8" s="28">
        <v>6.0852000000000004</v>
      </c>
      <c r="N8" s="16">
        <f>TRUNC(0.013457*(100*(M8-TRUNC(M8))+TRUNC(M8)*60-540)^2)</f>
        <v>395</v>
      </c>
      <c r="O8" s="22" t="s">
        <v>37</v>
      </c>
      <c r="P8" s="31">
        <v>5.2804000000000002</v>
      </c>
      <c r="Q8" s="19">
        <f>TRUNC(0.013457*(100*(P8-TRUNC(P8))+TRUNC(P8)*60-540)^2)</f>
        <v>604</v>
      </c>
      <c r="R8" s="20">
        <f t="shared" si="2"/>
        <v>999</v>
      </c>
      <c r="S8" s="19">
        <f t="shared" si="3"/>
        <v>7085</v>
      </c>
    </row>
    <row r="9" spans="1:19" s="21" customFormat="1" ht="45" customHeight="1" x14ac:dyDescent="0.2">
      <c r="A9" s="6" t="s">
        <v>38</v>
      </c>
      <c r="B9" s="7" t="s">
        <v>39</v>
      </c>
      <c r="C9" s="26">
        <v>8.5202000000000009</v>
      </c>
      <c r="D9" s="9">
        <f>TRUNC(0.008189*(100*(C9-TRUNC(C9))+TRUNC(C9)*60-840)^2)</f>
        <v>776</v>
      </c>
      <c r="E9" s="7" t="s">
        <v>109</v>
      </c>
      <c r="F9" s="27">
        <v>9.2233999999999998</v>
      </c>
      <c r="G9" s="12">
        <f>TRUNC(0.008189*(100*(F9-TRUNC(F9))+TRUNC(F9)*60-840)^2)</f>
        <v>631</v>
      </c>
      <c r="H9" s="12">
        <f t="shared" si="0"/>
        <v>1407</v>
      </c>
      <c r="I9" s="12">
        <f t="shared" si="1"/>
        <v>8340</v>
      </c>
      <c r="J9" s="13"/>
      <c r="K9" s="6" t="s">
        <v>38</v>
      </c>
      <c r="L9" s="22" t="s">
        <v>110</v>
      </c>
      <c r="M9" s="28">
        <v>12.3157</v>
      </c>
      <c r="N9" s="16">
        <f>TRUNC(0.002568*(100*(M9-TRUNC(M9))+TRUNC(M9)*60-1200)^2)</f>
        <v>516</v>
      </c>
      <c r="O9" s="22" t="s">
        <v>42</v>
      </c>
      <c r="P9" s="29">
        <v>12.310700000000001</v>
      </c>
      <c r="Q9" s="19">
        <f>TRUNC(0.002568*(100*(P9-TRUNC(P9))+TRUNC(P9)*60-1200)^2)</f>
        <v>517</v>
      </c>
      <c r="R9" s="20">
        <f t="shared" si="2"/>
        <v>1033</v>
      </c>
      <c r="S9" s="19">
        <f t="shared" si="3"/>
        <v>8118</v>
      </c>
    </row>
    <row r="10" spans="1:19" s="21" customFormat="1" ht="45" customHeight="1" x14ac:dyDescent="0.2">
      <c r="A10" s="6" t="s">
        <v>43</v>
      </c>
      <c r="B10" s="7" t="s">
        <v>44</v>
      </c>
      <c r="C10" s="23">
        <v>16.97</v>
      </c>
      <c r="D10" s="9">
        <f>TRUNC(5.58/2*((C10-28)^2+(C10-28+0)^2)-0)</f>
        <v>678</v>
      </c>
      <c r="E10" s="10" t="s">
        <v>111</v>
      </c>
      <c r="F10" s="24" t="s">
        <v>112</v>
      </c>
      <c r="G10" s="12">
        <v>0</v>
      </c>
      <c r="H10" s="12">
        <f>+G10+D10</f>
        <v>678</v>
      </c>
      <c r="I10" s="12">
        <f t="shared" si="1"/>
        <v>9018</v>
      </c>
      <c r="J10" s="13"/>
      <c r="K10" s="6" t="s">
        <v>46</v>
      </c>
      <c r="L10" s="22" t="s">
        <v>47</v>
      </c>
      <c r="M10" s="15">
        <v>13.43</v>
      </c>
      <c r="N10" s="16">
        <f>TRUNC(3.4273/2*((M10-31.4)^2+(M10-31.4+0)^2)-0)</f>
        <v>1106</v>
      </c>
      <c r="O10" s="22" t="s">
        <v>48</v>
      </c>
      <c r="P10" s="18">
        <v>15.1</v>
      </c>
      <c r="Q10" s="19">
        <f>TRUNC(3.4273/2*((P10-31.4)^2+(P10-31.4+0)^2)-0)</f>
        <v>910</v>
      </c>
      <c r="R10" s="20">
        <f t="shared" si="2"/>
        <v>2016</v>
      </c>
      <c r="S10" s="19">
        <f t="shared" si="3"/>
        <v>10134</v>
      </c>
    </row>
    <row r="11" spans="1:19" s="21" customFormat="1" ht="45" customHeight="1" x14ac:dyDescent="0.2">
      <c r="A11" s="6" t="s">
        <v>49</v>
      </c>
      <c r="B11" s="10" t="s">
        <v>45</v>
      </c>
      <c r="C11" s="23">
        <v>58.15</v>
      </c>
      <c r="D11" s="9">
        <f>TRUNC(0.4192/2*((C11-102)^2+(C11-102+0)^2)-0)</f>
        <v>806</v>
      </c>
      <c r="E11" s="10" t="s">
        <v>51</v>
      </c>
      <c r="F11" s="24">
        <v>60.74</v>
      </c>
      <c r="G11" s="12">
        <f>TRUNC(0.4192/2*((F11-102)^2+(F11-102+0)^2)-0)</f>
        <v>713</v>
      </c>
      <c r="H11" s="12">
        <f t="shared" si="0"/>
        <v>1519</v>
      </c>
      <c r="I11" s="12">
        <f t="shared" si="1"/>
        <v>10537</v>
      </c>
      <c r="J11" s="13"/>
      <c r="K11" s="6" t="s">
        <v>49</v>
      </c>
      <c r="L11" s="22" t="s">
        <v>52</v>
      </c>
      <c r="M11" s="15">
        <v>69.45</v>
      </c>
      <c r="N11" s="32">
        <f>TRUNC(0.1637/2*((M11-140)^2+(M11-140+0)^2)-0)</f>
        <v>814</v>
      </c>
      <c r="O11" s="33" t="s">
        <v>53</v>
      </c>
      <c r="P11" s="18">
        <v>72.28</v>
      </c>
      <c r="Q11" s="34">
        <f>TRUNC(0.1637/2*((P11-140)^2+(P11-140+0)^2)-0)</f>
        <v>750</v>
      </c>
      <c r="R11" s="20">
        <f t="shared" si="2"/>
        <v>1564</v>
      </c>
      <c r="S11" s="19">
        <f t="shared" si="3"/>
        <v>11698</v>
      </c>
    </row>
    <row r="12" spans="1:19" s="21" customFormat="1" ht="45" customHeight="1" x14ac:dyDescent="0.2">
      <c r="A12" s="6" t="s">
        <v>54</v>
      </c>
      <c r="B12" s="10" t="s">
        <v>55</v>
      </c>
      <c r="C12" s="23">
        <v>10.3453</v>
      </c>
      <c r="D12" s="9">
        <f>TRUNC(0.00376*((60*TRUNC(C12))+(100*(C12-TRUNC(C12)))-1060)^2)</f>
        <v>680</v>
      </c>
      <c r="E12" s="10" t="s">
        <v>56</v>
      </c>
      <c r="F12" s="24">
        <v>10.3667</v>
      </c>
      <c r="G12" s="12">
        <f>TRUNC(0.00376*((60*TRUNC(F12))+(100*(F12-TRUNC(F12)))-1060)^2)</f>
        <v>673</v>
      </c>
      <c r="H12" s="12">
        <f t="shared" si="0"/>
        <v>1353</v>
      </c>
      <c r="I12" s="12">
        <f t="shared" si="1"/>
        <v>11890</v>
      </c>
      <c r="J12" s="13"/>
      <c r="K12" s="6" t="s">
        <v>57</v>
      </c>
      <c r="L12" s="22" t="s">
        <v>113</v>
      </c>
      <c r="M12" s="28">
        <v>21.5581</v>
      </c>
      <c r="N12" s="16">
        <f>TRUNC(0.0006648*((60*TRUNC(M12))+(100*(M12-TRUNC(M12)))-2073)^2)</f>
        <v>381</v>
      </c>
      <c r="O12" s="22" t="s">
        <v>114</v>
      </c>
      <c r="P12" s="18">
        <v>22.296700000000001</v>
      </c>
      <c r="Q12" s="19">
        <f>TRUNC(0.0006648*((60*TRUNC(P12))+(100*(P12-TRUNC(P12)))-2073)^2)</f>
        <v>347</v>
      </c>
      <c r="R12" s="20">
        <f t="shared" si="2"/>
        <v>728</v>
      </c>
      <c r="S12" s="19">
        <f t="shared" si="3"/>
        <v>12426</v>
      </c>
    </row>
    <row r="13" spans="1:19" s="21" customFormat="1" ht="45" customHeight="1" x14ac:dyDescent="0.2">
      <c r="A13" s="6" t="s">
        <v>60</v>
      </c>
      <c r="B13" s="7" t="s">
        <v>61</v>
      </c>
      <c r="C13" s="23">
        <v>27.0502</v>
      </c>
      <c r="D13" s="9">
        <f>TRUNC(0.000212*(100*(C13-TRUNC(C13))+TRUNC(C13)*60-3470)^2)-1</f>
        <v>720</v>
      </c>
      <c r="E13" s="10" t="s">
        <v>62</v>
      </c>
      <c r="F13" s="24">
        <v>31.088999999999999</v>
      </c>
      <c r="G13" s="12">
        <f>TRUNC(0.000212*(100*(F13-TRUNC(F13))+TRUNC(F13)*60-3470)^2)-1</f>
        <v>542</v>
      </c>
      <c r="H13" s="12">
        <f t="shared" si="0"/>
        <v>1262</v>
      </c>
      <c r="I13" s="12">
        <f t="shared" si="1"/>
        <v>13152</v>
      </c>
      <c r="J13" s="13"/>
      <c r="K13" s="6" t="s">
        <v>63</v>
      </c>
      <c r="L13" s="22" t="s">
        <v>64</v>
      </c>
      <c r="M13" s="15">
        <v>1.3</v>
      </c>
      <c r="N13" s="32">
        <f>TRUNC(49.489/2*((M13+9.2)^2+(M13+9.2+0.01)^2)-5000)</f>
        <v>461</v>
      </c>
      <c r="O13" s="33" t="s">
        <v>65</v>
      </c>
      <c r="P13" s="18">
        <v>1.3</v>
      </c>
      <c r="Q13" s="20">
        <f>TRUNC(49.489/2*((P13+9.2)^2+(P13+9.2+0.01)^2)-5000)</f>
        <v>461</v>
      </c>
      <c r="R13" s="20">
        <f t="shared" si="2"/>
        <v>922</v>
      </c>
      <c r="S13" s="19">
        <f t="shared" si="3"/>
        <v>13348</v>
      </c>
    </row>
    <row r="14" spans="1:19" s="21" customFormat="1" ht="45" customHeight="1" x14ac:dyDescent="0.2">
      <c r="A14" s="6" t="s">
        <v>63</v>
      </c>
      <c r="B14" s="7" t="s">
        <v>44</v>
      </c>
      <c r="C14" s="23">
        <v>1.85</v>
      </c>
      <c r="D14" s="35">
        <f>TRUNC(39.4106/2*((C14+10.2)^2+(C14+10.2+0.01)^2)-5000)</f>
        <v>727</v>
      </c>
      <c r="E14" s="10" t="s">
        <v>45</v>
      </c>
      <c r="F14" s="24">
        <v>1.75</v>
      </c>
      <c r="G14" s="36">
        <f>TRUNC(39.4106/2*((F14+10.2)^2+(F14+10.2+0.01)^2)-5000)</f>
        <v>632</v>
      </c>
      <c r="H14" s="12">
        <f t="shared" si="0"/>
        <v>1359</v>
      </c>
      <c r="I14" s="12">
        <f t="shared" si="1"/>
        <v>14511</v>
      </c>
      <c r="J14" s="13"/>
      <c r="K14" s="6" t="s">
        <v>66</v>
      </c>
      <c r="L14" s="14" t="s">
        <v>67</v>
      </c>
      <c r="M14" s="15">
        <v>4.62</v>
      </c>
      <c r="N14" s="32">
        <f>TRUNC(2.29455/2*((M14+45)^2+(M14+45+0.01)^2)-5000)</f>
        <v>650</v>
      </c>
      <c r="O14" s="22" t="s">
        <v>21</v>
      </c>
      <c r="P14" s="18">
        <v>4.74</v>
      </c>
      <c r="Q14" s="34">
        <f>TRUNC(2.29455/2*((P14+45)^2+(P14+45+0.01)^2)-5000)</f>
        <v>678</v>
      </c>
      <c r="R14" s="20">
        <f t="shared" si="2"/>
        <v>1328</v>
      </c>
      <c r="S14" s="19">
        <f t="shared" si="3"/>
        <v>14676</v>
      </c>
    </row>
    <row r="15" spans="1:19" s="21" customFormat="1" ht="45" customHeight="1" x14ac:dyDescent="0.2">
      <c r="A15" s="6" t="s">
        <v>66</v>
      </c>
      <c r="B15" s="10" t="s">
        <v>68</v>
      </c>
      <c r="C15" s="23">
        <v>5.92</v>
      </c>
      <c r="D15" s="9">
        <f>TRUNC(1.82116/2*((C15+50)^2+(C15+50+0.01)^2)-5000)</f>
        <v>695</v>
      </c>
      <c r="E15" s="10" t="s">
        <v>115</v>
      </c>
      <c r="F15" s="24">
        <v>5.69</v>
      </c>
      <c r="G15" s="12">
        <f>TRUNC(1.82116/2*((F15+50)^2+(F15+50+0.01)^2)-5000)</f>
        <v>649</v>
      </c>
      <c r="H15" s="12">
        <f t="shared" si="0"/>
        <v>1344</v>
      </c>
      <c r="I15" s="12">
        <f t="shared" si="1"/>
        <v>15855</v>
      </c>
      <c r="J15" s="13"/>
      <c r="K15" s="6" t="s">
        <v>69</v>
      </c>
      <c r="L15" s="22" t="s">
        <v>22</v>
      </c>
      <c r="M15" s="37">
        <v>9.84</v>
      </c>
      <c r="N15" s="16">
        <f>TRUNC(0.5438/2*((M15+92)^2+(M15+92+0.01)^2)-5000)</f>
        <v>640</v>
      </c>
      <c r="O15" s="22" t="s">
        <v>31</v>
      </c>
      <c r="P15" s="38">
        <v>9.1199999999999992</v>
      </c>
      <c r="Q15" s="19">
        <f>TRUNC(0.5438/2*((P15+92)^2+(P15+92+0.01)^2)-5000)</f>
        <v>561</v>
      </c>
      <c r="R15" s="20">
        <f t="shared" si="2"/>
        <v>1201</v>
      </c>
      <c r="S15" s="19">
        <f t="shared" si="3"/>
        <v>15877</v>
      </c>
    </row>
    <row r="16" spans="1:19" s="21" customFormat="1" ht="45" customHeight="1" x14ac:dyDescent="0.2">
      <c r="A16" s="6" t="s">
        <v>69</v>
      </c>
      <c r="B16" s="7" t="s">
        <v>71</v>
      </c>
      <c r="C16" s="23">
        <v>12.45</v>
      </c>
      <c r="D16" s="9">
        <f>TRUNC(0.47301/2*((C16+97)^2+(C16+97+0.01)^2)-5000)</f>
        <v>666</v>
      </c>
      <c r="E16" s="10" t="s">
        <v>25</v>
      </c>
      <c r="F16" s="39">
        <v>11.92</v>
      </c>
      <c r="G16" s="12">
        <f>TRUNC(0.47301/2*((F16+97)^2+(F16+97+0.01)^2)-5000)</f>
        <v>612</v>
      </c>
      <c r="H16" s="12">
        <f t="shared" si="0"/>
        <v>1278</v>
      </c>
      <c r="I16" s="12">
        <f t="shared" si="1"/>
        <v>17133</v>
      </c>
      <c r="J16" s="13"/>
      <c r="K16" s="6" t="s">
        <v>72</v>
      </c>
      <c r="L16" s="22" t="s">
        <v>48</v>
      </c>
      <c r="M16" s="15">
        <v>2.8</v>
      </c>
      <c r="N16" s="16">
        <f>TRUNC(5.3339/2*((M16+29.5)^2+(M16+29.5+0.01)^2)-5000)</f>
        <v>566</v>
      </c>
      <c r="O16" s="33" t="s">
        <v>53</v>
      </c>
      <c r="P16" s="18">
        <v>2.4</v>
      </c>
      <c r="Q16" s="19">
        <f>TRUNC(5.3339/2*((P16+29.5)^2+(P16+29.5+0.01)^2)-5000)</f>
        <v>429</v>
      </c>
      <c r="R16" s="20">
        <f t="shared" si="2"/>
        <v>995</v>
      </c>
      <c r="S16" s="19">
        <f t="shared" si="3"/>
        <v>16872</v>
      </c>
    </row>
    <row r="17" spans="1:19" s="21" customFormat="1" ht="45" customHeight="1" x14ac:dyDescent="0.2">
      <c r="A17" s="6" t="s">
        <v>72</v>
      </c>
      <c r="B17" s="7" t="s">
        <v>73</v>
      </c>
      <c r="C17" s="23">
        <v>3.8</v>
      </c>
      <c r="D17" s="9">
        <f>TRUNC(3.3771/2*((C17+37)^2+(C17+37+0.01)^2)-5000)</f>
        <v>623</v>
      </c>
      <c r="E17" s="10" t="s">
        <v>51</v>
      </c>
      <c r="F17" s="24">
        <v>3.9</v>
      </c>
      <c r="G17" s="12">
        <f>TRUNC(3.3771/2*((F17+37)^2+(F17+37+0.01)^2)-5000)</f>
        <v>650</v>
      </c>
      <c r="H17" s="12">
        <f t="shared" si="0"/>
        <v>1273</v>
      </c>
      <c r="I17" s="12">
        <f t="shared" si="1"/>
        <v>18406</v>
      </c>
      <c r="J17" s="13"/>
      <c r="K17" s="6" t="s">
        <v>75</v>
      </c>
      <c r="L17" s="22" t="s">
        <v>81</v>
      </c>
      <c r="M17" s="15">
        <v>6.88</v>
      </c>
      <c r="N17" s="16">
        <f>TRUNC(0.04631/2*((M17+656)^2+(M17+656+0.01)^2)-20000)</f>
        <v>349</v>
      </c>
      <c r="O17" s="22" t="s">
        <v>76</v>
      </c>
      <c r="P17" s="18">
        <v>7.52</v>
      </c>
      <c r="Q17" s="19">
        <f>TRUNC(0.04631/2*((P17+656)^2+(P17+656+0.01)^2)-20000)</f>
        <v>388</v>
      </c>
      <c r="R17" s="20">
        <f t="shared" si="2"/>
        <v>737</v>
      </c>
      <c r="S17" s="19">
        <f t="shared" si="3"/>
        <v>17609</v>
      </c>
    </row>
    <row r="18" spans="1:19" s="21" customFormat="1" ht="45" customHeight="1" x14ac:dyDescent="0.2">
      <c r="A18" s="6" t="s">
        <v>75</v>
      </c>
      <c r="B18" s="30" t="s">
        <v>116</v>
      </c>
      <c r="C18" s="23">
        <v>11.12</v>
      </c>
      <c r="D18" s="9">
        <f>TRUNC(0.04298/2*((C18+681)^2+(C18+681+0.01)^2)-20000)</f>
        <v>589</v>
      </c>
      <c r="E18" s="7" t="s">
        <v>73</v>
      </c>
      <c r="F18" s="24">
        <v>9.69</v>
      </c>
      <c r="G18" s="12">
        <f>TRUNC(0.04298/2*((F18+681)^2+(F18+681+0.01)^2)-20000)</f>
        <v>504</v>
      </c>
      <c r="H18" s="12">
        <f t="shared" si="0"/>
        <v>1093</v>
      </c>
      <c r="I18" s="12">
        <f t="shared" si="1"/>
        <v>19499</v>
      </c>
      <c r="J18" s="13"/>
      <c r="K18" s="6" t="s">
        <v>79</v>
      </c>
      <c r="L18" s="25" t="s">
        <v>80</v>
      </c>
      <c r="M18" s="15">
        <v>27.01</v>
      </c>
      <c r="N18" s="16">
        <f>TRUNC(0.004156/2*((M18+2190)^2+(M18+2190+0.01)^2)-20000)</f>
        <v>427</v>
      </c>
      <c r="O18" s="25" t="s">
        <v>36</v>
      </c>
      <c r="P18" s="18">
        <v>21.08</v>
      </c>
      <c r="Q18" s="19">
        <f>TRUNC(0.004156/2*((P18+2190)^2+(P18+2190+0.01)^2)-20000)</f>
        <v>318</v>
      </c>
      <c r="R18" s="20">
        <f t="shared" si="2"/>
        <v>745</v>
      </c>
      <c r="S18" s="19">
        <f t="shared" si="3"/>
        <v>18354</v>
      </c>
    </row>
    <row r="19" spans="1:19" s="21" customFormat="1" ht="45" customHeight="1" x14ac:dyDescent="0.2">
      <c r="A19" s="6" t="s">
        <v>79</v>
      </c>
      <c r="B19" s="30" t="s">
        <v>82</v>
      </c>
      <c r="C19" s="23">
        <v>38.31</v>
      </c>
      <c r="D19" s="9">
        <f>TRUNC(0.004233/2*((C19+2170)^2+(C19+2170+0.01)^2)-20000)</f>
        <v>642</v>
      </c>
      <c r="E19" s="30" t="s">
        <v>117</v>
      </c>
      <c r="F19" s="24">
        <v>29.15</v>
      </c>
      <c r="G19" s="12">
        <f>TRUNC(0.004233/2*((F19+2170)^2+(F19+2170+0.01)^2)-20000)</f>
        <v>471</v>
      </c>
      <c r="H19" s="12">
        <f t="shared" si="0"/>
        <v>1113</v>
      </c>
      <c r="I19" s="12">
        <f t="shared" si="1"/>
        <v>20612</v>
      </c>
      <c r="J19" s="13"/>
      <c r="K19" s="6" t="s">
        <v>83</v>
      </c>
      <c r="L19" s="17" t="s">
        <v>17</v>
      </c>
      <c r="M19" s="15">
        <v>44.27</v>
      </c>
      <c r="N19" s="32">
        <f>TRUNC(0.004195/2*((M19+2180)^2+(M19+2180+0.01)^2)-20000)</f>
        <v>754</v>
      </c>
      <c r="O19" s="25" t="s">
        <v>27</v>
      </c>
      <c r="P19" s="18">
        <v>32.25</v>
      </c>
      <c r="Q19" s="34">
        <f>TRUNC(0.004195/2*((P19+2180)^2+(P19+2180+0.01)^2)-20000)</f>
        <v>530</v>
      </c>
      <c r="R19" s="20">
        <f t="shared" si="2"/>
        <v>1284</v>
      </c>
      <c r="S19" s="19">
        <f t="shared" si="3"/>
        <v>19638</v>
      </c>
    </row>
    <row r="20" spans="1:19" s="21" customFormat="1" ht="45" customHeight="1" x14ac:dyDescent="0.2">
      <c r="A20" s="6" t="s">
        <v>83</v>
      </c>
      <c r="B20" s="30" t="s">
        <v>84</v>
      </c>
      <c r="C20" s="23">
        <v>55.86</v>
      </c>
      <c r="D20" s="9">
        <f>TRUNC(0.002454/2*((C20+2850)^2+(C20+2850+0.01)^2)-20000)</f>
        <v>721</v>
      </c>
      <c r="E20" s="7" t="s">
        <v>24</v>
      </c>
      <c r="F20" s="24">
        <v>39.229999999999997</v>
      </c>
      <c r="G20" s="12">
        <f>TRUNC(0.002454/2*((F20+2850)^2+(F20+2850+0.01)^2)-20000)</f>
        <v>485</v>
      </c>
      <c r="H20" s="12">
        <f t="shared" si="0"/>
        <v>1206</v>
      </c>
      <c r="I20" s="12">
        <f t="shared" si="1"/>
        <v>21818</v>
      </c>
      <c r="J20" s="13"/>
      <c r="K20" s="6" t="s">
        <v>85</v>
      </c>
      <c r="L20" s="33" t="s">
        <v>86</v>
      </c>
      <c r="M20" s="15">
        <v>29.52</v>
      </c>
      <c r="N20" s="32">
        <f>TRUNC(0.00364/2*((M20+2340)^2+(M20+2340+0.01)^2)-20000)</f>
        <v>437</v>
      </c>
      <c r="O20" s="22" t="s">
        <v>52</v>
      </c>
      <c r="P20" s="18">
        <v>24.83</v>
      </c>
      <c r="Q20" s="34">
        <f>TRUNC(0.00364/2*((P20+2340)^2+(P20+2340+0.01)^2)-20000)</f>
        <v>356</v>
      </c>
      <c r="R20" s="20">
        <f t="shared" si="2"/>
        <v>793</v>
      </c>
      <c r="S20" s="19">
        <f t="shared" si="3"/>
        <v>20431</v>
      </c>
    </row>
    <row r="21" spans="1:19" s="21" customFormat="1" ht="45" customHeight="1" x14ac:dyDescent="0.2">
      <c r="A21" s="6" t="s">
        <v>85</v>
      </c>
      <c r="B21" s="30" t="s">
        <v>88</v>
      </c>
      <c r="C21" s="40">
        <v>38.74</v>
      </c>
      <c r="D21" s="9">
        <f>TRUNC(0.0029488/2*((C21+2600)^2+(C21+2600+0.01)^2)-20000)</f>
        <v>532</v>
      </c>
      <c r="E21" s="7" t="s">
        <v>89</v>
      </c>
      <c r="F21" s="24">
        <v>35.42</v>
      </c>
      <c r="G21" s="12">
        <f>TRUNC(0.0029488/2*((F21+2600)^2+(F21+2600+0.01)^2)-20000)</f>
        <v>480</v>
      </c>
      <c r="H21" s="12">
        <f t="shared" si="0"/>
        <v>1012</v>
      </c>
      <c r="I21" s="12">
        <f t="shared" si="1"/>
        <v>22830</v>
      </c>
      <c r="J21" s="13"/>
      <c r="K21" s="6" t="s">
        <v>90</v>
      </c>
      <c r="L21" s="41" t="s">
        <v>91</v>
      </c>
      <c r="M21" s="15">
        <v>50.55</v>
      </c>
      <c r="N21" s="16">
        <f>TRUNC(0.3954/2*((M21-98)^2+(M21-98+0)^2)-0)</f>
        <v>890</v>
      </c>
      <c r="O21" s="41" t="s">
        <v>92</v>
      </c>
      <c r="P21" s="29">
        <v>4.1026999999999996</v>
      </c>
      <c r="Q21" s="19">
        <f>TRUNC(0.01562*(100*(P21-TRUNC(P21))+TRUNC(P21)*60-480)^2)</f>
        <v>824</v>
      </c>
      <c r="R21" s="20">
        <f t="shared" si="2"/>
        <v>1714</v>
      </c>
      <c r="S21" s="19">
        <f t="shared" si="3"/>
        <v>22145</v>
      </c>
    </row>
    <row r="22" spans="1:19" s="21" customFormat="1" ht="45" customHeight="1" x14ac:dyDescent="0.2">
      <c r="A22" s="6" t="s">
        <v>90</v>
      </c>
      <c r="B22" s="42" t="s">
        <v>93</v>
      </c>
      <c r="C22" s="43">
        <v>44.56</v>
      </c>
      <c r="D22" s="9">
        <f>TRUNC(1.2019/2*((C22-70)^2+(C22-70+0)^2)-0)</f>
        <v>777</v>
      </c>
      <c r="E22" s="10" t="s">
        <v>94</v>
      </c>
      <c r="F22" s="27">
        <v>3.3220999999999998</v>
      </c>
      <c r="G22" s="12">
        <f>TRUNC(0.05404*(100*(F22-TRUNC(F22))+TRUNC(F22)*60-328)^2)</f>
        <v>724</v>
      </c>
      <c r="H22" s="12">
        <f t="shared" si="0"/>
        <v>1501</v>
      </c>
      <c r="I22" s="12">
        <f t="shared" si="1"/>
        <v>24331</v>
      </c>
      <c r="J22" s="44"/>
      <c r="K22" s="45"/>
      <c r="L22" s="46"/>
      <c r="M22" s="46"/>
      <c r="N22" s="46"/>
      <c r="O22" s="47"/>
      <c r="P22" s="46"/>
      <c r="Q22" s="46"/>
      <c r="R22" s="48" t="s">
        <v>95</v>
      </c>
      <c r="S22" s="49">
        <f>+I22+S21</f>
        <v>46476</v>
      </c>
    </row>
    <row r="23" spans="1:19" ht="36.75" customHeight="1" x14ac:dyDescent="0.35">
      <c r="A23" s="50" t="s">
        <v>118</v>
      </c>
      <c r="K23" s="50" t="s">
        <v>119</v>
      </c>
    </row>
    <row r="24" spans="1:19" ht="36.75" customHeight="1" x14ac:dyDescent="0.35">
      <c r="A24" s="51" t="s">
        <v>120</v>
      </c>
      <c r="K24" s="51" t="s">
        <v>121</v>
      </c>
    </row>
  </sheetData>
  <mergeCells count="3">
    <mergeCell ref="A1:S1"/>
    <mergeCell ref="A2:I2"/>
    <mergeCell ref="K2:S2"/>
  </mergeCells>
  <printOptions horizontalCentered="1" verticalCentered="1" gridLinesSet="0"/>
  <pageMargins left="0" right="0" top="0" bottom="0.19685039370078741" header="0" footer="0"/>
  <pageSetup paperSize="9" scale="46" orientation="landscape" horizontalDpi="300" verticalDpi="300" r:id="rId1"/>
  <headerFooter alignWithMargins="0">
    <oddFooter>&amp;C&amp;F    &amp;A  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showGridLines="0" zoomScale="40" zoomScaleNormal="40" workbookViewId="0">
      <selection activeCell="M12" sqref="M12"/>
    </sheetView>
  </sheetViews>
  <sheetFormatPr baseColWidth="10" defaultColWidth="11.42578125" defaultRowHeight="12.75" x14ac:dyDescent="0.2"/>
  <cols>
    <col min="1" max="1" width="24.7109375" style="52" customWidth="1"/>
    <col min="2" max="2" width="29.7109375" style="1" customWidth="1"/>
    <col min="3" max="3" width="16.42578125" style="1" customWidth="1"/>
    <col min="4" max="4" width="11.42578125" style="1" customWidth="1"/>
    <col min="5" max="5" width="34" style="1" customWidth="1"/>
    <col min="6" max="6" width="17.85546875" style="1" customWidth="1"/>
    <col min="7" max="7" width="12.7109375" style="1" customWidth="1"/>
    <col min="8" max="8" width="14.28515625" style="1" customWidth="1"/>
    <col min="9" max="9" width="15.7109375" style="1" customWidth="1"/>
    <col min="10" max="10" width="5.85546875" style="1" customWidth="1"/>
    <col min="11" max="11" width="25.140625" style="1" customWidth="1"/>
    <col min="12" max="12" width="31.140625" style="1" customWidth="1"/>
    <col min="13" max="13" width="17.140625" style="1" customWidth="1"/>
    <col min="14" max="14" width="12.28515625" style="1" customWidth="1"/>
    <col min="15" max="15" width="29.140625" style="1" customWidth="1"/>
    <col min="16" max="16" width="16.28515625" style="1" customWidth="1"/>
    <col min="17" max="17" width="11.85546875" style="1" customWidth="1"/>
    <col min="18" max="18" width="10.5703125" style="1" customWidth="1"/>
    <col min="19" max="19" width="18" style="1" customWidth="1"/>
    <col min="20" max="20" width="4.7109375" style="1" customWidth="1"/>
    <col min="21" max="16384" width="11.42578125" style="1"/>
  </cols>
  <sheetData>
    <row r="1" spans="1:19" ht="48" customHeight="1" x14ac:dyDescent="0.2">
      <c r="A1" s="88" t="s">
        <v>122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90"/>
    </row>
    <row r="2" spans="1:19" ht="33.75" customHeight="1" x14ac:dyDescent="0.35">
      <c r="A2" s="91" t="s">
        <v>2</v>
      </c>
      <c r="B2" s="91"/>
      <c r="C2" s="91"/>
      <c r="D2" s="91"/>
      <c r="E2" s="91"/>
      <c r="F2" s="91"/>
      <c r="G2" s="91"/>
      <c r="H2" s="91"/>
      <c r="I2" s="91"/>
      <c r="J2" s="2"/>
      <c r="K2" s="92" t="s">
        <v>3</v>
      </c>
      <c r="L2" s="92"/>
      <c r="M2" s="92"/>
      <c r="N2" s="92"/>
      <c r="O2" s="92"/>
      <c r="P2" s="92"/>
      <c r="Q2" s="92"/>
      <c r="R2" s="92"/>
      <c r="S2" s="92"/>
    </row>
    <row r="3" spans="1:19" ht="39.75" customHeight="1" x14ac:dyDescent="0.2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6</v>
      </c>
      <c r="G3" s="3" t="s">
        <v>7</v>
      </c>
      <c r="H3" s="3" t="s">
        <v>9</v>
      </c>
      <c r="I3" s="4"/>
      <c r="J3" s="5"/>
      <c r="K3" s="3" t="s">
        <v>10</v>
      </c>
      <c r="L3" s="3" t="s">
        <v>5</v>
      </c>
      <c r="M3" s="3" t="s">
        <v>11</v>
      </c>
      <c r="N3" s="3" t="s">
        <v>7</v>
      </c>
      <c r="O3" s="3" t="s">
        <v>5</v>
      </c>
      <c r="P3" s="3" t="s">
        <v>12</v>
      </c>
      <c r="Q3" s="3" t="s">
        <v>7</v>
      </c>
      <c r="R3" s="3" t="s">
        <v>9</v>
      </c>
      <c r="S3" s="4"/>
    </row>
    <row r="4" spans="1:19" s="21" customFormat="1" ht="45" customHeight="1" x14ac:dyDescent="0.2">
      <c r="A4" s="6" t="s">
        <v>13</v>
      </c>
      <c r="B4" s="10" t="s">
        <v>123</v>
      </c>
      <c r="C4" s="8">
        <v>14.23</v>
      </c>
      <c r="D4" s="9">
        <f>TRUNC(21.77/2*((C4-17.5)^2+(C4-17.5+0)^2)-0)</f>
        <v>232</v>
      </c>
      <c r="E4" s="10" t="s">
        <v>124</v>
      </c>
      <c r="F4" s="11">
        <v>12.31</v>
      </c>
      <c r="G4" s="12">
        <f>TRUNC(21.77/2*((F4-17.5)^2+(F4-17.5+0)^2)-0)</f>
        <v>586</v>
      </c>
      <c r="H4" s="12">
        <f t="shared" ref="H4:H22" si="0">+G4+D4</f>
        <v>818</v>
      </c>
      <c r="I4" s="12">
        <f t="shared" ref="I4:I22" si="1">+I3+H4</f>
        <v>818</v>
      </c>
      <c r="J4" s="13"/>
      <c r="K4" s="6" t="s">
        <v>13</v>
      </c>
      <c r="L4" s="22" t="s">
        <v>125</v>
      </c>
      <c r="M4" s="15">
        <v>14.76</v>
      </c>
      <c r="N4" s="16">
        <f>TRUNC(6.5713/2*((M4-24.5)^2+(M4-24.5+0)^2)-0)</f>
        <v>623</v>
      </c>
      <c r="O4" s="53" t="s">
        <v>16</v>
      </c>
      <c r="P4" s="18">
        <v>13.92</v>
      </c>
      <c r="Q4" s="19">
        <f>TRUNC(6.5713/2*((P4-24.5)^2+(P4-24.5+0)^2)-0)</f>
        <v>735</v>
      </c>
      <c r="R4" s="20">
        <f t="shared" ref="R4:R21" si="2">+Q4+N4</f>
        <v>1358</v>
      </c>
      <c r="S4" s="19">
        <f t="shared" ref="S4:S21" si="3">+S3+R4</f>
        <v>1358</v>
      </c>
    </row>
    <row r="5" spans="1:19" s="21" customFormat="1" ht="45" customHeight="1" x14ac:dyDescent="0.2">
      <c r="A5" s="6" t="s">
        <v>18</v>
      </c>
      <c r="B5" s="10" t="s">
        <v>126</v>
      </c>
      <c r="C5" s="8">
        <v>25.54</v>
      </c>
      <c r="D5" s="9">
        <f>TRUNC(4.799/2*((C5-36)^2+(C5-36+0)^2)-0)</f>
        <v>525</v>
      </c>
      <c r="E5" s="10" t="s">
        <v>127</v>
      </c>
      <c r="F5" s="11">
        <v>26.73</v>
      </c>
      <c r="G5" s="12">
        <f>TRUNC(4.799/2*((F5-36)^2+(F5-36+0)^2)-0)</f>
        <v>412</v>
      </c>
      <c r="H5" s="12">
        <f t="shared" si="0"/>
        <v>937</v>
      </c>
      <c r="I5" s="12">
        <f t="shared" si="1"/>
        <v>1755</v>
      </c>
      <c r="J5" s="13"/>
      <c r="K5" s="6" t="s">
        <v>18</v>
      </c>
      <c r="L5" s="22" t="s">
        <v>128</v>
      </c>
      <c r="M5" s="15">
        <v>31.81</v>
      </c>
      <c r="N5" s="16">
        <f>TRUNC(1.2685/2*((M5-53)^2+(M5-53+0)^2)-0)</f>
        <v>569</v>
      </c>
      <c r="O5" s="33" t="s">
        <v>129</v>
      </c>
      <c r="P5" s="18">
        <v>30.3</v>
      </c>
      <c r="Q5" s="19">
        <f>TRUNC(1.2685/2*((P5-53)^2+(P5-53+0)^2)-0)</f>
        <v>653</v>
      </c>
      <c r="R5" s="20">
        <f t="shared" si="2"/>
        <v>1222</v>
      </c>
      <c r="S5" s="19">
        <f t="shared" si="3"/>
        <v>2580</v>
      </c>
    </row>
    <row r="6" spans="1:19" s="21" customFormat="1" ht="45" customHeight="1" x14ac:dyDescent="0.2">
      <c r="A6" s="6" t="s">
        <v>23</v>
      </c>
      <c r="B6" s="7" t="s">
        <v>130</v>
      </c>
      <c r="C6" s="23">
        <v>62.16</v>
      </c>
      <c r="D6" s="9">
        <f>TRUNC(0.8582/2*((C6-82)^2+(C6-82+0)^2)-0)</f>
        <v>337</v>
      </c>
      <c r="E6" s="7" t="s">
        <v>131</v>
      </c>
      <c r="F6" s="24">
        <v>61.4</v>
      </c>
      <c r="G6" s="12">
        <f>TRUNC(0.8582/2*((F6-82)^2+(F6-82+0)^2)-0)</f>
        <v>364</v>
      </c>
      <c r="H6" s="12">
        <f t="shared" si="0"/>
        <v>701</v>
      </c>
      <c r="I6" s="12">
        <f t="shared" si="1"/>
        <v>2456</v>
      </c>
      <c r="J6" s="13"/>
      <c r="K6" s="6" t="s">
        <v>23</v>
      </c>
      <c r="L6" s="14" t="s">
        <v>132</v>
      </c>
      <c r="M6" s="15">
        <v>78.64</v>
      </c>
      <c r="N6" s="16">
        <f>TRUNC(0.2453/2*((M6-120)^2+(M6-120+0)^2)-0)</f>
        <v>419</v>
      </c>
      <c r="O6" s="14" t="s">
        <v>133</v>
      </c>
      <c r="P6" s="18">
        <v>76.09</v>
      </c>
      <c r="Q6" s="19">
        <f>TRUNC(0.2453/2*((P6-120)^2+(P6-120+0)^2)-0)</f>
        <v>472</v>
      </c>
      <c r="R6" s="20">
        <f t="shared" si="2"/>
        <v>891</v>
      </c>
      <c r="S6" s="19">
        <f t="shared" si="3"/>
        <v>3471</v>
      </c>
    </row>
    <row r="7" spans="1:19" s="21" customFormat="1" ht="45" customHeight="1" x14ac:dyDescent="0.2">
      <c r="A7" s="6" t="s">
        <v>28</v>
      </c>
      <c r="B7" s="54" t="s">
        <v>30</v>
      </c>
      <c r="C7" s="26">
        <v>2.0390999999999999</v>
      </c>
      <c r="D7" s="9">
        <f>TRUNC(0.18778*(100*(C7-TRUNC(C7))+TRUNC(C7)*60-184)^2)</f>
        <v>678</v>
      </c>
      <c r="E7" s="7" t="s">
        <v>134</v>
      </c>
      <c r="F7" s="27">
        <v>2.0895999999999999</v>
      </c>
      <c r="G7" s="12">
        <f>TRUNC(0.18778*(100*(F7-TRUNC(F7))+TRUNC(F7)*60-184)^2)</f>
        <v>568</v>
      </c>
      <c r="H7" s="12">
        <f t="shared" si="0"/>
        <v>1246</v>
      </c>
      <c r="I7" s="12">
        <f t="shared" si="1"/>
        <v>3702</v>
      </c>
      <c r="J7" s="13"/>
      <c r="K7" s="6" t="s">
        <v>28</v>
      </c>
      <c r="L7" s="25" t="s">
        <v>135</v>
      </c>
      <c r="M7" s="28">
        <v>3.0842000000000001</v>
      </c>
      <c r="N7" s="16">
        <f>TRUNC(0.06826*(100*(M7-TRUNC(M7))+TRUNC(M7)*60-250)^2)</f>
        <v>258</v>
      </c>
      <c r="O7" s="22" t="s">
        <v>32</v>
      </c>
      <c r="P7" s="29">
        <v>2.3820000000000001</v>
      </c>
      <c r="Q7" s="19">
        <f>TRUNC(0.06826*(100*(P7-TRUNC(P7))+TRUNC(P7)*60-250)^2)</f>
        <v>575</v>
      </c>
      <c r="R7" s="20">
        <f t="shared" si="2"/>
        <v>833</v>
      </c>
      <c r="S7" s="19">
        <f t="shared" si="3"/>
        <v>4304</v>
      </c>
    </row>
    <row r="8" spans="1:19" s="21" customFormat="1" ht="45" customHeight="1" x14ac:dyDescent="0.2">
      <c r="A8" s="6" t="s">
        <v>33</v>
      </c>
      <c r="B8" s="10" t="s">
        <v>136</v>
      </c>
      <c r="C8" s="26">
        <v>4.3438999999999997</v>
      </c>
      <c r="D8" s="9">
        <f>TRUNC(0.04066*(100*(C8-TRUNC(C8))+TRUNC(C8)*60-385)^2)</f>
        <v>497</v>
      </c>
      <c r="E8" s="10" t="s">
        <v>35</v>
      </c>
      <c r="F8" s="27">
        <v>4.3070000000000004</v>
      </c>
      <c r="G8" s="12">
        <f>TRUNC(0.04066*(100*(F8-TRUNC(F8))+TRUNC(F8)*60-385)^2)</f>
        <v>531</v>
      </c>
      <c r="H8" s="12">
        <f>+G8+D8</f>
        <v>1028</v>
      </c>
      <c r="I8" s="12">
        <f t="shared" si="1"/>
        <v>4730</v>
      </c>
      <c r="J8" s="13"/>
      <c r="K8" s="6" t="s">
        <v>33</v>
      </c>
      <c r="L8" s="22" t="s">
        <v>137</v>
      </c>
      <c r="M8" s="28">
        <v>5.3662999999999998</v>
      </c>
      <c r="N8" s="16">
        <f>TRUNC(0.013457*(100*(M8-TRUNC(M8))+TRUNC(M8)*60-540)^2)</f>
        <v>556</v>
      </c>
      <c r="O8" s="33" t="s">
        <v>138</v>
      </c>
      <c r="P8" s="31">
        <v>5.4779999999999998</v>
      </c>
      <c r="Q8" s="19">
        <f>TRUNC(0.013457*(100*(P8-TRUNC(P8))+TRUNC(P8)*60-540)^2)</f>
        <v>497</v>
      </c>
      <c r="R8" s="20">
        <f t="shared" si="2"/>
        <v>1053</v>
      </c>
      <c r="S8" s="19">
        <f t="shared" si="3"/>
        <v>5357</v>
      </c>
    </row>
    <row r="9" spans="1:19" s="21" customFormat="1" ht="45" customHeight="1" x14ac:dyDescent="0.2">
      <c r="A9" s="6" t="s">
        <v>38</v>
      </c>
      <c r="B9" s="7" t="s">
        <v>139</v>
      </c>
      <c r="C9" s="26">
        <v>9.5408000000000008</v>
      </c>
      <c r="D9" s="9">
        <f>TRUNC(0.008189*(100*(C9-TRUNC(C9))+TRUNC(C9)*60-840)^2)</f>
        <v>495</v>
      </c>
      <c r="E9" s="7" t="s">
        <v>40</v>
      </c>
      <c r="F9" s="27">
        <v>9.3039000000000005</v>
      </c>
      <c r="G9" s="12">
        <f>TRUNC(0.008189*(100*(F9-TRUNC(F9))+TRUNC(F9)*60-840)^2)</f>
        <v>595</v>
      </c>
      <c r="H9" s="12">
        <f t="shared" si="0"/>
        <v>1090</v>
      </c>
      <c r="I9" s="12">
        <f t="shared" si="1"/>
        <v>5820</v>
      </c>
      <c r="J9" s="13"/>
      <c r="K9" s="6" t="s">
        <v>38</v>
      </c>
      <c r="L9" s="22"/>
      <c r="M9" s="28">
        <v>0</v>
      </c>
      <c r="N9" s="16">
        <v>0</v>
      </c>
      <c r="O9" s="25" t="s">
        <v>140</v>
      </c>
      <c r="P9" s="29">
        <v>12.1038</v>
      </c>
      <c r="Q9" s="19">
        <f>TRUNC(0.002568*(100*(P9-TRUNC(P9))+TRUNC(P9)*60-1200)^2)</f>
        <v>566</v>
      </c>
      <c r="R9" s="20">
        <f t="shared" si="2"/>
        <v>566</v>
      </c>
      <c r="S9" s="19">
        <f t="shared" si="3"/>
        <v>5923</v>
      </c>
    </row>
    <row r="10" spans="1:19" s="21" customFormat="1" ht="45" customHeight="1" x14ac:dyDescent="0.2">
      <c r="A10" s="6" t="s">
        <v>43</v>
      </c>
      <c r="B10" s="10" t="s">
        <v>141</v>
      </c>
      <c r="C10" s="23">
        <v>19.079999999999998</v>
      </c>
      <c r="D10" s="9">
        <f>TRUNC(5.58/2*((C10-28)^2+(C10-28+0)^2)-0)</f>
        <v>443</v>
      </c>
      <c r="E10" s="7" t="s">
        <v>142</v>
      </c>
      <c r="F10" s="24">
        <v>28</v>
      </c>
      <c r="G10" s="12">
        <f>TRUNC(5.58/2*((F10-28)^2+(F10-28+0)^2)-0)</f>
        <v>0</v>
      </c>
      <c r="H10" s="12">
        <f>+G10+D10</f>
        <v>443</v>
      </c>
      <c r="I10" s="12">
        <f t="shared" si="1"/>
        <v>6263</v>
      </c>
      <c r="J10" s="13"/>
      <c r="K10" s="6" t="s">
        <v>46</v>
      </c>
      <c r="L10" s="14" t="s">
        <v>142</v>
      </c>
      <c r="M10" s="15">
        <v>31</v>
      </c>
      <c r="N10" s="16">
        <f>TRUNC(3.4273/2*((M10-31.4)^2+(M10-31.4+0)^2)-0)</f>
        <v>0</v>
      </c>
      <c r="O10" s="33" t="s">
        <v>142</v>
      </c>
      <c r="P10" s="18">
        <v>31</v>
      </c>
      <c r="Q10" s="55">
        <f>TRUNC(3.4273/2*((P10-31.4)^2+(P10-31.4+0)^2)-0)</f>
        <v>0</v>
      </c>
      <c r="R10" s="20">
        <f t="shared" si="2"/>
        <v>0</v>
      </c>
      <c r="S10" s="19">
        <f t="shared" si="3"/>
        <v>5923</v>
      </c>
    </row>
    <row r="11" spans="1:19" s="21" customFormat="1" ht="45" customHeight="1" x14ac:dyDescent="0.2">
      <c r="A11" s="6" t="s">
        <v>49</v>
      </c>
      <c r="B11" s="10" t="s">
        <v>143</v>
      </c>
      <c r="C11" s="23">
        <v>67.16</v>
      </c>
      <c r="D11" s="9">
        <f>TRUNC(0.4192/2*((C11-102)^2+(C11-102+0)^2)-0)</f>
        <v>508</v>
      </c>
      <c r="E11" s="10" t="s">
        <v>144</v>
      </c>
      <c r="F11" s="24">
        <v>67.55</v>
      </c>
      <c r="G11" s="12">
        <f>TRUNC(0.4192/2*((F11-102)^2+(F11-102+0)^2)-0)</f>
        <v>497</v>
      </c>
      <c r="H11" s="12">
        <f t="shared" si="0"/>
        <v>1005</v>
      </c>
      <c r="I11" s="12">
        <f t="shared" si="1"/>
        <v>7268</v>
      </c>
      <c r="J11" s="13"/>
      <c r="K11" s="6" t="s">
        <v>49</v>
      </c>
      <c r="L11" s="22" t="s">
        <v>145</v>
      </c>
      <c r="M11" s="15">
        <v>103.05</v>
      </c>
      <c r="N11" s="32">
        <f>TRUNC(0.1637/2*((M11-140)^2+(M11-140+0)^2)-0)</f>
        <v>223</v>
      </c>
      <c r="O11" s="33" t="s">
        <v>146</v>
      </c>
      <c r="P11" s="18">
        <v>86.22</v>
      </c>
      <c r="Q11" s="34">
        <f>TRUNC(0.1637/2*((P11-140)^2+(P11-140+0)^2)-0)</f>
        <v>473</v>
      </c>
      <c r="R11" s="20">
        <f t="shared" si="2"/>
        <v>696</v>
      </c>
      <c r="S11" s="19">
        <f t="shared" si="3"/>
        <v>6619</v>
      </c>
    </row>
    <row r="12" spans="1:19" s="21" customFormat="1" ht="45" customHeight="1" x14ac:dyDescent="0.2">
      <c r="A12" s="6" t="s">
        <v>54</v>
      </c>
      <c r="B12" s="7" t="s">
        <v>147</v>
      </c>
      <c r="C12" s="23" t="s">
        <v>148</v>
      </c>
      <c r="D12" s="9">
        <v>0</v>
      </c>
      <c r="E12" s="30" t="s">
        <v>149</v>
      </c>
      <c r="F12" s="24">
        <v>11.1043</v>
      </c>
      <c r="G12" s="12">
        <f>TRUNC(0.00376*((60*TRUNC(F12))+(100*(F12-TRUNC(F12)))-1060)^2)</f>
        <v>570</v>
      </c>
      <c r="H12" s="12">
        <f t="shared" si="0"/>
        <v>570</v>
      </c>
      <c r="I12" s="12">
        <f t="shared" si="1"/>
        <v>7838</v>
      </c>
      <c r="J12" s="13"/>
      <c r="K12" s="6" t="s">
        <v>57</v>
      </c>
      <c r="L12" s="22" t="s">
        <v>59</v>
      </c>
      <c r="M12" s="28">
        <v>24.420300000000001</v>
      </c>
      <c r="N12" s="16">
        <f>TRUNC(0.0006648*((60*TRUNC(M12))+(100*(M12-TRUNC(M12)))-2073)^2)</f>
        <v>232</v>
      </c>
      <c r="O12" s="33" t="s">
        <v>142</v>
      </c>
      <c r="P12" s="18"/>
      <c r="Q12" s="55">
        <v>0</v>
      </c>
      <c r="R12" s="20">
        <f t="shared" si="2"/>
        <v>232</v>
      </c>
      <c r="S12" s="19">
        <f t="shared" si="3"/>
        <v>6851</v>
      </c>
    </row>
    <row r="13" spans="1:19" s="21" customFormat="1" ht="45" customHeight="1" x14ac:dyDescent="0.2">
      <c r="A13" s="6" t="s">
        <v>60</v>
      </c>
      <c r="B13" s="7" t="s">
        <v>150</v>
      </c>
      <c r="C13" s="23">
        <v>30.329799999999999</v>
      </c>
      <c r="D13" s="9">
        <f>TRUNC(0.000212*(100*(C13-TRUNC(C13))+TRUNC(C13)*60-3470)^2)-1</f>
        <v>567</v>
      </c>
      <c r="E13" s="10" t="s">
        <v>151</v>
      </c>
      <c r="F13" s="24">
        <v>31.484999999999999</v>
      </c>
      <c r="G13" s="12">
        <f>TRUNC(0.000212*(100*(F13-TRUNC(F13))+TRUNC(F13)*60-3470)^2)-1</f>
        <v>515</v>
      </c>
      <c r="H13" s="12">
        <f t="shared" si="0"/>
        <v>1082</v>
      </c>
      <c r="I13" s="12">
        <f t="shared" si="1"/>
        <v>8920</v>
      </c>
      <c r="J13" s="13"/>
      <c r="K13" s="6" t="s">
        <v>63</v>
      </c>
      <c r="L13" s="25" t="s">
        <v>152</v>
      </c>
      <c r="M13" s="15">
        <v>0</v>
      </c>
      <c r="N13" s="32">
        <v>0</v>
      </c>
      <c r="O13" s="33" t="s">
        <v>129</v>
      </c>
      <c r="P13" s="18">
        <v>1.2</v>
      </c>
      <c r="Q13" s="20">
        <f>TRUNC(49.489/2*((P13+9.2)^2+(P13+9.2+0.01)^2)-5000)</f>
        <v>357</v>
      </c>
      <c r="R13" s="20">
        <f t="shared" si="2"/>
        <v>357</v>
      </c>
      <c r="S13" s="19">
        <f t="shared" si="3"/>
        <v>7208</v>
      </c>
    </row>
    <row r="14" spans="1:19" s="21" customFormat="1" ht="45" customHeight="1" x14ac:dyDescent="0.2">
      <c r="A14" s="6" t="s">
        <v>63</v>
      </c>
      <c r="B14" s="10" t="s">
        <v>141</v>
      </c>
      <c r="C14" s="23">
        <v>1.7</v>
      </c>
      <c r="D14" s="35">
        <f>TRUNC(39.4106/2*((C14+10.2)^2+(C14+10.2+0.01)^2)-5000)</f>
        <v>585</v>
      </c>
      <c r="E14" s="7" t="s">
        <v>131</v>
      </c>
      <c r="F14" s="24">
        <v>1.55</v>
      </c>
      <c r="G14" s="36">
        <f>TRUNC(39.4106/2*((F14+10.2)^2+(F14+10.2+0.01)^2)-5000)</f>
        <v>445</v>
      </c>
      <c r="H14" s="12">
        <f t="shared" si="0"/>
        <v>1030</v>
      </c>
      <c r="I14" s="12">
        <f t="shared" si="1"/>
        <v>9950</v>
      </c>
      <c r="J14" s="13"/>
      <c r="K14" s="6" t="s">
        <v>66</v>
      </c>
      <c r="L14" s="14" t="s">
        <v>133</v>
      </c>
      <c r="M14" s="15">
        <v>3.48</v>
      </c>
      <c r="N14" s="32">
        <f>TRUNC(2.29455/2*((M14+45)^2+(M14+45+0.01)^2)-5000)</f>
        <v>394</v>
      </c>
      <c r="O14" s="22" t="s">
        <v>128</v>
      </c>
      <c r="P14" s="18">
        <v>4.29</v>
      </c>
      <c r="Q14" s="34">
        <f>TRUNC(2.29455/2*((P14+45)^2+(P14+45+0.01)^2)-5000)</f>
        <v>575</v>
      </c>
      <c r="R14" s="20">
        <f t="shared" si="2"/>
        <v>969</v>
      </c>
      <c r="S14" s="19">
        <f t="shared" si="3"/>
        <v>8177</v>
      </c>
    </row>
    <row r="15" spans="1:19" s="21" customFormat="1" ht="45" customHeight="1" x14ac:dyDescent="0.2">
      <c r="A15" s="6" t="s">
        <v>66</v>
      </c>
      <c r="B15" s="10" t="s">
        <v>124</v>
      </c>
      <c r="C15" s="23">
        <v>5.25</v>
      </c>
      <c r="D15" s="9">
        <f>TRUNC(1.82116/2*((C15+50)^2+(C15+50+0.01)^2)-5000)</f>
        <v>560</v>
      </c>
      <c r="E15" s="10" t="s">
        <v>153</v>
      </c>
      <c r="F15" s="24">
        <v>3.32</v>
      </c>
      <c r="G15" s="12">
        <f>TRUNC(1.82116/2*((F15+50)^2+(F15+50+0.01)^2)-5000)</f>
        <v>178</v>
      </c>
      <c r="H15" s="12">
        <f t="shared" si="0"/>
        <v>738</v>
      </c>
      <c r="I15" s="12">
        <f t="shared" si="1"/>
        <v>10688</v>
      </c>
      <c r="J15" s="13"/>
      <c r="K15" s="6" t="s">
        <v>69</v>
      </c>
      <c r="L15" s="33" t="s">
        <v>142</v>
      </c>
      <c r="M15" s="37">
        <v>0</v>
      </c>
      <c r="N15" s="16">
        <v>0</v>
      </c>
      <c r="O15" s="22" t="s">
        <v>32</v>
      </c>
      <c r="P15" s="38">
        <v>8.5500000000000007</v>
      </c>
      <c r="Q15" s="19">
        <f>TRUNC(0.5438/2*((P15+92)^2+(P15+92+0.01)^2)-5000)</f>
        <v>498</v>
      </c>
      <c r="R15" s="20">
        <f t="shared" si="2"/>
        <v>498</v>
      </c>
      <c r="S15" s="19">
        <f t="shared" si="3"/>
        <v>8675</v>
      </c>
    </row>
    <row r="16" spans="1:19" s="21" customFormat="1" ht="45" customHeight="1" x14ac:dyDescent="0.2">
      <c r="A16" s="6" t="s">
        <v>69</v>
      </c>
      <c r="B16" s="10" t="s">
        <v>143</v>
      </c>
      <c r="C16" s="23">
        <v>10.76</v>
      </c>
      <c r="D16" s="9">
        <f>TRUNC(0.47301/2*((C16+97)^2+(C16+97+0.01)^2)-5000)</f>
        <v>493</v>
      </c>
      <c r="E16" s="7" t="s">
        <v>130</v>
      </c>
      <c r="F16" s="39">
        <v>11</v>
      </c>
      <c r="G16" s="12">
        <f>TRUNC(0.47301/2*((F16+97)^2+(F16+97+0.01)^2)-5000)</f>
        <v>517</v>
      </c>
      <c r="H16" s="12">
        <f t="shared" si="0"/>
        <v>1010</v>
      </c>
      <c r="I16" s="12">
        <f t="shared" si="1"/>
        <v>11698</v>
      </c>
      <c r="J16" s="13"/>
      <c r="K16" s="6" t="s">
        <v>72</v>
      </c>
      <c r="L16" s="33" t="s">
        <v>142</v>
      </c>
      <c r="M16" s="15">
        <v>1.1100000000000001</v>
      </c>
      <c r="N16" s="16">
        <f>TRUNC(5.3339/2*((M16+29.5)^2+(M16+29.5+0.01)^2)-5000)</f>
        <v>0</v>
      </c>
      <c r="O16" s="33" t="s">
        <v>142</v>
      </c>
      <c r="P16" s="18">
        <v>1.1100000000000001</v>
      </c>
      <c r="Q16" s="55">
        <f>TRUNC(5.3339/2*((P16+29.5)^2+(P16+29.5+0.01)^2)-5000)</f>
        <v>0</v>
      </c>
      <c r="R16" s="20">
        <f t="shared" si="2"/>
        <v>0</v>
      </c>
      <c r="S16" s="19">
        <f t="shared" si="3"/>
        <v>8675</v>
      </c>
    </row>
    <row r="17" spans="1:19" s="21" customFormat="1" ht="45" customHeight="1" x14ac:dyDescent="0.2">
      <c r="A17" s="6" t="s">
        <v>72</v>
      </c>
      <c r="B17" s="10" t="s">
        <v>154</v>
      </c>
      <c r="C17" s="23">
        <v>3.6</v>
      </c>
      <c r="D17" s="9">
        <f>TRUNC(3.3771/2*((C17+37)^2+(C17+37+0.01)^2)-5000)</f>
        <v>568</v>
      </c>
      <c r="E17" s="30" t="s">
        <v>155</v>
      </c>
      <c r="F17" s="24" t="s">
        <v>156</v>
      </c>
      <c r="G17" s="12">
        <v>0</v>
      </c>
      <c r="H17" s="12">
        <f t="shared" si="0"/>
        <v>568</v>
      </c>
      <c r="I17" s="12">
        <f t="shared" si="1"/>
        <v>12266</v>
      </c>
      <c r="J17" s="13"/>
      <c r="K17" s="6" t="s">
        <v>75</v>
      </c>
      <c r="L17" s="17" t="s">
        <v>146</v>
      </c>
      <c r="M17" s="15">
        <v>6.39</v>
      </c>
      <c r="N17" s="16">
        <f>TRUNC(0.04631/2*((M17+656)^2+(M17+656+0.01)^2)-20000)</f>
        <v>319</v>
      </c>
      <c r="O17" s="53" t="s">
        <v>16</v>
      </c>
      <c r="P17" s="18">
        <v>6.51</v>
      </c>
      <c r="Q17" s="55">
        <f>TRUNC(0.04631/2*((P17+656)^2+(P17+656+0.01)^2)-20000)</f>
        <v>326</v>
      </c>
      <c r="R17" s="20">
        <f t="shared" si="2"/>
        <v>645</v>
      </c>
      <c r="S17" s="19">
        <f t="shared" si="3"/>
        <v>9320</v>
      </c>
    </row>
    <row r="18" spans="1:19" s="21" customFormat="1" ht="45" customHeight="1" x14ac:dyDescent="0.2">
      <c r="A18" s="6" t="s">
        <v>75</v>
      </c>
      <c r="B18" s="7" t="s">
        <v>150</v>
      </c>
      <c r="C18" s="23">
        <v>8.31</v>
      </c>
      <c r="D18" s="9">
        <f>TRUNC(0.04298/2*((C18+681)^2+(C18+681+0.01)^2)-20000)</f>
        <v>422</v>
      </c>
      <c r="E18" s="10" t="s">
        <v>151</v>
      </c>
      <c r="F18" s="24">
        <v>9.23</v>
      </c>
      <c r="G18" s="12">
        <f>TRUNC(0.04298/2*((F18+681)^2+(F18+681+0.01)^2)-20000)</f>
        <v>476</v>
      </c>
      <c r="H18" s="12">
        <f t="shared" si="0"/>
        <v>898</v>
      </c>
      <c r="I18" s="12">
        <f t="shared" si="1"/>
        <v>13164</v>
      </c>
      <c r="J18" s="13"/>
      <c r="K18" s="6" t="s">
        <v>79</v>
      </c>
      <c r="L18" s="22" t="s">
        <v>87</v>
      </c>
      <c r="M18" s="15">
        <v>21.35</v>
      </c>
      <c r="N18" s="16">
        <f>TRUNC(0.004156/2*((M18+2190)^2+(M18+2190+0.01)^2)-20000)</f>
        <v>323</v>
      </c>
      <c r="O18" s="33" t="s">
        <v>138</v>
      </c>
      <c r="P18" s="18">
        <v>13.43</v>
      </c>
      <c r="Q18" s="55">
        <f>TRUNC(0.004156/2*((P18+2190)^2+(P18+2190+0.01)^2)-20000)</f>
        <v>177</v>
      </c>
      <c r="R18" s="20">
        <f t="shared" si="2"/>
        <v>500</v>
      </c>
      <c r="S18" s="19">
        <f t="shared" si="3"/>
        <v>9820</v>
      </c>
    </row>
    <row r="19" spans="1:19" s="21" customFormat="1" ht="45" customHeight="1" x14ac:dyDescent="0.2">
      <c r="A19" s="6" t="s">
        <v>79</v>
      </c>
      <c r="B19" s="30" t="s">
        <v>149</v>
      </c>
      <c r="C19" s="23">
        <v>18.66</v>
      </c>
      <c r="D19" s="9">
        <f>TRUNC(0.004233/2*((C19+2170)^2+(C19+2170+0.01)^2)-20000)</f>
        <v>277</v>
      </c>
      <c r="E19" s="7" t="s">
        <v>134</v>
      </c>
      <c r="F19" s="24">
        <v>20.149999999999999</v>
      </c>
      <c r="G19" s="12">
        <f>TRUNC(0.004233/2*((F19+2170)^2+(F19+2170+0.01)^2)-20000)</f>
        <v>304</v>
      </c>
      <c r="H19" s="12">
        <f t="shared" si="0"/>
        <v>581</v>
      </c>
      <c r="I19" s="12">
        <f t="shared" si="1"/>
        <v>13745</v>
      </c>
      <c r="J19" s="13"/>
      <c r="K19" s="6" t="s">
        <v>83</v>
      </c>
      <c r="L19" s="22" t="s">
        <v>157</v>
      </c>
      <c r="M19" s="15">
        <v>8.57</v>
      </c>
      <c r="N19" s="32">
        <f>TRUNC(0.004195/2*((M19+2180)^2+(M19+2180+0.01)^2)-20000)</f>
        <v>93</v>
      </c>
      <c r="O19" s="22" t="s">
        <v>137</v>
      </c>
      <c r="P19" s="18">
        <v>16.690000000000001</v>
      </c>
      <c r="Q19" s="56">
        <f>TRUNC(0.004195/2*((P19+2180)^2+(P19+2180+0.01)^2)-20000)</f>
        <v>242</v>
      </c>
      <c r="R19" s="20">
        <f t="shared" si="2"/>
        <v>335</v>
      </c>
      <c r="S19" s="19">
        <f t="shared" si="3"/>
        <v>10155</v>
      </c>
    </row>
    <row r="20" spans="1:19" s="21" customFormat="1" ht="45" customHeight="1" x14ac:dyDescent="0.2">
      <c r="A20" s="6" t="s">
        <v>83</v>
      </c>
      <c r="B20" s="30" t="s">
        <v>158</v>
      </c>
      <c r="C20" s="23">
        <v>30.05</v>
      </c>
      <c r="D20" s="9">
        <f>TRUNC(0.002454/2*((C20+2850)^2+(C20+2850+0.01)^2)-20000)</f>
        <v>355</v>
      </c>
      <c r="E20" s="10" t="s">
        <v>159</v>
      </c>
      <c r="F20" s="24">
        <v>28.53</v>
      </c>
      <c r="G20" s="12">
        <f>TRUNC(0.002454/2*((F20+2850)^2+(F20+2850+0.01)^2)-20000)</f>
        <v>333</v>
      </c>
      <c r="H20" s="12">
        <f t="shared" si="0"/>
        <v>688</v>
      </c>
      <c r="I20" s="12">
        <f t="shared" si="1"/>
        <v>14433</v>
      </c>
      <c r="J20" s="13"/>
      <c r="K20" s="6" t="s">
        <v>85</v>
      </c>
      <c r="L20" s="33" t="s">
        <v>145</v>
      </c>
      <c r="M20" s="15">
        <v>15.25</v>
      </c>
      <c r="N20" s="32">
        <f>TRUNC(0.00364/2*((M20+2340)^2+(M20+2340+0.01)^2)-20000)</f>
        <v>191</v>
      </c>
      <c r="O20" s="33" t="s">
        <v>142</v>
      </c>
      <c r="P20" s="18">
        <v>4</v>
      </c>
      <c r="Q20" s="56">
        <f>TRUNC(0.00364/2*((P20+2340)^2+(P20+2340+0.01)^2)-20000)</f>
        <v>0</v>
      </c>
      <c r="R20" s="20">
        <f t="shared" si="2"/>
        <v>191</v>
      </c>
      <c r="S20" s="19">
        <f t="shared" si="3"/>
        <v>10346</v>
      </c>
    </row>
    <row r="21" spans="1:19" s="21" customFormat="1" ht="45" customHeight="1" x14ac:dyDescent="0.2">
      <c r="A21" s="6" t="s">
        <v>85</v>
      </c>
      <c r="B21" s="30" t="s">
        <v>160</v>
      </c>
      <c r="C21" s="40">
        <v>31.25</v>
      </c>
      <c r="D21" s="9">
        <f>TRUNC(0.0029488/2*((C21+2600)^2+(C21+2600+0.01)^2)-20000)</f>
        <v>416</v>
      </c>
      <c r="E21" s="30" t="s">
        <v>155</v>
      </c>
      <c r="F21" s="24">
        <v>16.88</v>
      </c>
      <c r="G21" s="12">
        <f>TRUNC(0.0029488/2*((F21+2600)^2+(F21+2600+0.01)^2)-20000)</f>
        <v>193</v>
      </c>
      <c r="H21" s="12">
        <f t="shared" si="0"/>
        <v>609</v>
      </c>
      <c r="I21" s="12">
        <f t="shared" si="1"/>
        <v>15042</v>
      </c>
      <c r="J21" s="13"/>
      <c r="K21" s="6" t="s">
        <v>90</v>
      </c>
      <c r="L21" s="41" t="s">
        <v>91</v>
      </c>
      <c r="M21" s="15">
        <v>58.06</v>
      </c>
      <c r="N21" s="16">
        <f>TRUNC(0.3954/2*((M21-98)^2+(M21-98+0)^2)-0)</f>
        <v>630</v>
      </c>
      <c r="O21" s="41" t="s">
        <v>92</v>
      </c>
      <c r="P21" s="29">
        <v>5.2293000000000003</v>
      </c>
      <c r="Q21" s="19">
        <f>TRUNC(0.01562*(100*(P21-TRUNC(P21))+TRUNC(P21)*60-480)^2)</f>
        <v>385</v>
      </c>
      <c r="R21" s="20">
        <f t="shared" si="2"/>
        <v>1015</v>
      </c>
      <c r="S21" s="19">
        <f t="shared" si="3"/>
        <v>11361</v>
      </c>
    </row>
    <row r="22" spans="1:19" s="21" customFormat="1" ht="45" customHeight="1" x14ac:dyDescent="0.2">
      <c r="A22" s="6" t="s">
        <v>90</v>
      </c>
      <c r="B22" s="42" t="s">
        <v>93</v>
      </c>
      <c r="C22" s="43">
        <v>48.99</v>
      </c>
      <c r="D22" s="9">
        <f>TRUNC(1.2019/2*((C22-70)^2+(C22-70+0)^2)-0)</f>
        <v>530</v>
      </c>
      <c r="E22" s="10" t="s">
        <v>94</v>
      </c>
      <c r="F22" s="27">
        <v>3.5741999999999998</v>
      </c>
      <c r="G22" s="12">
        <f>TRUNC(0.05404*(100*(F22-TRUNC(F22))+TRUNC(F22)*60-328)^2)</f>
        <v>443</v>
      </c>
      <c r="H22" s="12">
        <f t="shared" si="0"/>
        <v>973</v>
      </c>
      <c r="I22" s="12">
        <f t="shared" si="1"/>
        <v>16015</v>
      </c>
      <c r="J22" s="44"/>
      <c r="K22" s="45"/>
      <c r="L22" s="46"/>
      <c r="M22" s="46"/>
      <c r="N22" s="46"/>
      <c r="O22" s="47"/>
      <c r="P22" s="46"/>
      <c r="Q22" s="46"/>
      <c r="R22" s="48" t="s">
        <v>95</v>
      </c>
      <c r="S22" s="49">
        <f>+I22+S21</f>
        <v>27376</v>
      </c>
    </row>
  </sheetData>
  <mergeCells count="3">
    <mergeCell ref="A1:S1"/>
    <mergeCell ref="A2:I2"/>
    <mergeCell ref="K2:S2"/>
  </mergeCells>
  <printOptions horizontalCentered="1" verticalCentered="1" gridLinesSet="0"/>
  <pageMargins left="0" right="0" top="0" bottom="0.19685039370078741" header="0" footer="0"/>
  <pageSetup paperSize="9" scale="46" orientation="landscape" horizontalDpi="300" verticalDpi="300" r:id="rId1"/>
  <headerFooter alignWithMargins="0">
    <oddFooter>&amp;C&amp;F    &amp;A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2017 2ème T equipe 1</vt:lpstr>
      <vt:lpstr>résult 1er T equipe 1 </vt:lpstr>
      <vt:lpstr>résult 1er T equipe 2 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</dc:creator>
  <cp:lastModifiedBy>APP4</cp:lastModifiedBy>
  <cp:revision/>
  <dcterms:created xsi:type="dcterms:W3CDTF">2017-05-12T10:13:01Z</dcterms:created>
  <dcterms:modified xsi:type="dcterms:W3CDTF">2017-05-15T09:49:13Z</dcterms:modified>
</cp:coreProperties>
</file>