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ean-Philippe\"/>
    </mc:Choice>
  </mc:AlternateContent>
  <bookViews>
    <workbookView xWindow="0" yWindow="0" windowWidth="28800" windowHeight="12330" activeTab="1"/>
  </bookViews>
  <sheets>
    <sheet name="2018 1er T equipe 1 " sheetId="1" r:id="rId1"/>
    <sheet name="2018 1er T equipe 2" sheetId="2" r:id="rId2"/>
  </sheets>
  <definedNames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 hidden="1">#REF!</definedName>
    <definedName name="a" localSheetId="1" hidden="1">#REF!</definedName>
    <definedName name="a" hidden="1">#REF!</definedName>
    <definedName name="abc" hidden="1">0</definedName>
    <definedName name="asc" localSheetId="0" hidden="1">#REF!</definedName>
    <definedName name="asc" localSheetId="1" hidden="1">#REF!</definedName>
    <definedName name="asc" hidden="1">#REF!</definedName>
    <definedName name="aze" hidden="1">0</definedName>
    <definedName name="azert" localSheetId="0" hidden="1">#REF!</definedName>
    <definedName name="azert" localSheetId="1" hidden="1">#REF!</definedName>
    <definedName name="azert" hidden="1">#REF!</definedName>
    <definedName name="AZERTY" localSheetId="0" hidden="1">#REF!</definedName>
    <definedName name="AZERTY" localSheetId="1" hidden="1">#REF!</definedName>
    <definedName name="AZERTY" hidden="1">#REF!</definedName>
    <definedName name="bnh" localSheetId="0" hidden="1">#REF!</definedName>
    <definedName name="bnh" localSheetId="1" hidden="1">#REF!</definedName>
    <definedName name="bnh" hidden="1">#REF!</definedName>
    <definedName name="bnhju" localSheetId="0" hidden="1">#REF!</definedName>
    <definedName name="bnhju" localSheetId="1" hidden="1">#REF!</definedName>
    <definedName name="bnhju" hidden="1">#REF!</definedName>
    <definedName name="h" hidden="1">0</definedName>
    <definedName name="m" localSheetId="0" hidden="1">#REF!</definedName>
    <definedName name="m" localSheetId="1" hidden="1">#REF!</definedName>
    <definedName name="m" hidden="1">#REF!</definedName>
    <definedName name="mpoi" localSheetId="0" hidden="1">#REF!</definedName>
    <definedName name="mpoi" localSheetId="1" hidden="1">#REF!</definedName>
    <definedName name="mpoi" hidden="1">#REF!</definedName>
    <definedName name="NBV" localSheetId="0" hidden="1">#REF!</definedName>
    <definedName name="NBV" localSheetId="1" hidden="1">#REF!</definedName>
    <definedName name="NBV" hidden="1">#REF!</definedName>
    <definedName name="NBVCX" localSheetId="0" hidden="1">#REF!</definedName>
    <definedName name="NBVCX" localSheetId="1" hidden="1">#REF!</definedName>
    <definedName name="NBVCX" hidden="1">#REF!</definedName>
    <definedName name="nhy" localSheetId="0" hidden="1">#REF!</definedName>
    <definedName name="nhy" localSheetId="1" hidden="1">#REF!</definedName>
    <definedName name="nhy" hidden="1">#REF!</definedName>
    <definedName name="nouveau" hidden="1">255</definedName>
    <definedName name="pmolik" localSheetId="0" hidden="1">#REF!</definedName>
    <definedName name="pmolik" localSheetId="1" hidden="1">#REF!</definedName>
    <definedName name="pmolik" hidden="1">#REF!</definedName>
    <definedName name="po" localSheetId="0" hidden="1">#REF!</definedName>
    <definedName name="po" localSheetId="1" hidden="1">#REF!</definedName>
    <definedName name="po" hidden="1">#REF!</definedName>
    <definedName name="pol" localSheetId="0" hidden="1">#REF!</definedName>
    <definedName name="pol" localSheetId="1" hidden="1">#REF!</definedName>
    <definedName name="pol" hidden="1">#REF!</definedName>
    <definedName name="qsd" localSheetId="0" hidden="1">#REF!</definedName>
    <definedName name="qsd" localSheetId="1" hidden="1">#REF!</definedName>
    <definedName name="qsd" hidden="1">#REF!</definedName>
    <definedName name="qsdfg" localSheetId="0" hidden="1">#REF!</definedName>
    <definedName name="qsdfg" localSheetId="1" hidden="1">#REF!</definedName>
    <definedName name="qsdfg" hidden="1">#REF!</definedName>
    <definedName name="saze" localSheetId="0" hidden="1">#REF!</definedName>
    <definedName name="saze" localSheetId="1" hidden="1">#REF!</definedName>
    <definedName name="saze" hidden="1">#REF!</definedName>
    <definedName name="sdf" localSheetId="0" hidden="1">#REF!</definedName>
    <definedName name="sdf" localSheetId="1" hidden="1">#REF!</definedName>
    <definedName name="sdf" hidden="1">#REF!</definedName>
    <definedName name="seftgyhu" localSheetId="0" hidden="1">#REF!</definedName>
    <definedName name="seftgyhu" localSheetId="1" hidden="1">#REF!</definedName>
    <definedName name="seftgyhu" hidden="1">#REF!</definedName>
    <definedName name="wxcvbn" localSheetId="0" hidden="1">#REF!</definedName>
    <definedName name="wxcvbn" localSheetId="1" hidden="1">#REF!</definedName>
    <definedName name="wxcvbn" hidden="1">#REF!</definedName>
    <definedName name="_xlnm.Print_Area" localSheetId="0">'2018 1er T equipe 1 '!$A$1:$S$22</definedName>
    <definedName name="_xlnm.Print_Area" localSheetId="1">'2018 1er T equipe 2'!$A$1:$S$22</definedName>
  </definedNames>
  <calcPr calcId="162913"/>
</workbook>
</file>

<file path=xl/calcChain.xml><?xml version="1.0" encoding="utf-8"?>
<calcChain xmlns="http://schemas.openxmlformats.org/spreadsheetml/2006/main">
  <c r="G22" i="2" l="1"/>
  <c r="D22" i="2"/>
  <c r="Q21" i="2"/>
  <c r="N21" i="2"/>
  <c r="G21" i="2"/>
  <c r="D21" i="2"/>
  <c r="Q20" i="2"/>
  <c r="N20" i="2"/>
  <c r="G20" i="2"/>
  <c r="D20" i="2"/>
  <c r="Q19" i="2"/>
  <c r="N19" i="2"/>
  <c r="G19" i="2"/>
  <c r="D19" i="2"/>
  <c r="Q18" i="2"/>
  <c r="N18" i="2"/>
  <c r="G18" i="2"/>
  <c r="D18" i="2"/>
  <c r="Q17" i="2"/>
  <c r="N17" i="2"/>
  <c r="G17" i="2"/>
  <c r="D17" i="2"/>
  <c r="Q16" i="2"/>
  <c r="N16" i="2"/>
  <c r="G16" i="2"/>
  <c r="D16" i="2"/>
  <c r="Q15" i="2"/>
  <c r="N15" i="2"/>
  <c r="G15" i="2"/>
  <c r="D15" i="2"/>
  <c r="Q14" i="2"/>
  <c r="N14" i="2"/>
  <c r="G14" i="2"/>
  <c r="D14" i="2"/>
  <c r="Q13" i="2"/>
  <c r="N13" i="2"/>
  <c r="G13" i="2"/>
  <c r="D13" i="2"/>
  <c r="Q12" i="2"/>
  <c r="N12" i="2"/>
  <c r="G12" i="2"/>
  <c r="D12" i="2"/>
  <c r="Q11" i="2"/>
  <c r="N11" i="2"/>
  <c r="G11" i="2"/>
  <c r="D11" i="2"/>
  <c r="Q10" i="2"/>
  <c r="N10" i="2"/>
  <c r="G10" i="2"/>
  <c r="D10" i="2"/>
  <c r="Q9" i="2"/>
  <c r="N9" i="2"/>
  <c r="G9" i="2"/>
  <c r="D9" i="2"/>
  <c r="Q8" i="2"/>
  <c r="N8" i="2"/>
  <c r="G8" i="2"/>
  <c r="D8" i="2"/>
  <c r="Q7" i="2"/>
  <c r="N7" i="2"/>
  <c r="G7" i="2"/>
  <c r="D7" i="2"/>
  <c r="Q6" i="2"/>
  <c r="N6" i="2"/>
  <c r="G6" i="2"/>
  <c r="D6" i="2"/>
  <c r="Q5" i="2"/>
  <c r="N5" i="2"/>
  <c r="G5" i="2"/>
  <c r="D5" i="2"/>
  <c r="Q4" i="2"/>
  <c r="N4" i="2"/>
  <c r="G4" i="2"/>
  <c r="D4" i="2"/>
  <c r="D12" i="1"/>
  <c r="D14" i="1"/>
  <c r="G10" i="1"/>
  <c r="G22" i="1"/>
  <c r="D22" i="1"/>
  <c r="Q21" i="1"/>
  <c r="N21" i="1"/>
  <c r="G21" i="1"/>
  <c r="D21" i="1"/>
  <c r="Q20" i="1"/>
  <c r="N20" i="1"/>
  <c r="G20" i="1"/>
  <c r="D20" i="1"/>
  <c r="Q19" i="1"/>
  <c r="N19" i="1"/>
  <c r="G19" i="1"/>
  <c r="D19" i="1"/>
  <c r="Q18" i="1"/>
  <c r="N18" i="1"/>
  <c r="G18" i="1"/>
  <c r="D18" i="1"/>
  <c r="Q17" i="1"/>
  <c r="N17" i="1"/>
  <c r="G17" i="1"/>
  <c r="D17" i="1"/>
  <c r="Q16" i="1"/>
  <c r="N16" i="1"/>
  <c r="G16" i="1"/>
  <c r="D16" i="1"/>
  <c r="Q15" i="1"/>
  <c r="N15" i="1"/>
  <c r="G15" i="1"/>
  <c r="D15" i="1"/>
  <c r="Q14" i="1"/>
  <c r="N14" i="1"/>
  <c r="G14" i="1"/>
  <c r="Q13" i="1"/>
  <c r="N13" i="1"/>
  <c r="G13" i="1"/>
  <c r="D13" i="1"/>
  <c r="Q12" i="1"/>
  <c r="N12" i="1"/>
  <c r="G12" i="1"/>
  <c r="Q11" i="1"/>
  <c r="N11" i="1"/>
  <c r="G11" i="1"/>
  <c r="D11" i="1"/>
  <c r="Q10" i="1"/>
  <c r="N10" i="1"/>
  <c r="D10" i="1"/>
  <c r="Q9" i="1"/>
  <c r="N9" i="1"/>
  <c r="G9" i="1"/>
  <c r="D9" i="1"/>
  <c r="Q8" i="1"/>
  <c r="N8" i="1"/>
  <c r="G8" i="1"/>
  <c r="D8" i="1"/>
  <c r="Q7" i="1"/>
  <c r="N7" i="1"/>
  <c r="G7" i="1"/>
  <c r="D7" i="1"/>
  <c r="Q6" i="1"/>
  <c r="N6" i="1"/>
  <c r="G6" i="1"/>
  <c r="D6" i="1"/>
  <c r="Q5" i="1"/>
  <c r="N5" i="1"/>
  <c r="G5" i="1"/>
  <c r="D5" i="1"/>
  <c r="Q4" i="1"/>
  <c r="N4" i="1"/>
  <c r="G4" i="1"/>
  <c r="D4" i="1"/>
  <c r="R4" i="2" l="1"/>
  <c r="S4" i="2" s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I4" i="2" s="1"/>
  <c r="R4" i="1"/>
  <c r="S4" i="1" s="1"/>
  <c r="R5" i="1"/>
  <c r="H6" i="1"/>
  <c r="R6" i="1"/>
  <c r="R9" i="1"/>
  <c r="R10" i="1"/>
  <c r="H11" i="1"/>
  <c r="R11" i="1"/>
  <c r="H13" i="1"/>
  <c r="H14" i="1"/>
  <c r="R15" i="1"/>
  <c r="H16" i="1"/>
  <c r="R16" i="1"/>
  <c r="H18" i="1"/>
  <c r="R18" i="1"/>
  <c r="H19" i="1"/>
  <c r="H20" i="1"/>
  <c r="R21" i="1"/>
  <c r="H22" i="1"/>
  <c r="H7" i="1"/>
  <c r="H9" i="1"/>
  <c r="H8" i="1"/>
  <c r="H4" i="1"/>
  <c r="I4" i="1" s="1"/>
  <c r="R20" i="1"/>
  <c r="R19" i="1"/>
  <c r="H12" i="1"/>
  <c r="H5" i="1"/>
  <c r="H15" i="1"/>
  <c r="R14" i="1"/>
  <c r="H21" i="1"/>
  <c r="H17" i="1"/>
  <c r="H10" i="1"/>
  <c r="R8" i="1"/>
  <c r="R12" i="1"/>
  <c r="R13" i="1"/>
  <c r="R17" i="1"/>
  <c r="R7" i="1"/>
  <c r="I5" i="2" l="1"/>
  <c r="I6" i="2" s="1"/>
  <c r="I7" i="2" s="1"/>
  <c r="I8" i="2" s="1"/>
  <c r="I9" i="2" s="1"/>
  <c r="I10" i="2" s="1"/>
  <c r="I11" i="2" s="1"/>
  <c r="I12" i="2" s="1"/>
  <c r="I13" i="2" s="1"/>
  <c r="I14" i="2" s="1"/>
  <c r="S5" i="2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I15" i="2"/>
  <c r="I16" i="2" s="1"/>
  <c r="I17" i="2" s="1"/>
  <c r="I18" i="2" s="1"/>
  <c r="I19" i="2" s="1"/>
  <c r="I20" i="2" s="1"/>
  <c r="I21" i="2" s="1"/>
  <c r="I22" i="2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S22" i="2" l="1"/>
  <c r="S22" i="1"/>
</calcChain>
</file>

<file path=xl/sharedStrings.xml><?xml version="1.0" encoding="utf-8"?>
<sst xmlns="http://schemas.openxmlformats.org/spreadsheetml/2006/main" count="307" uniqueCount="190">
  <si>
    <r>
      <t xml:space="preserve"> HOMMES</t>
    </r>
    <r>
      <rPr>
        <b/>
        <sz val="14"/>
        <color rgb="FF7030A0"/>
        <rFont val="Arial"/>
        <family val="2"/>
      </rPr>
      <t/>
    </r>
  </si>
  <si>
    <t>FEMMES</t>
  </si>
  <si>
    <t>epreuves</t>
  </si>
  <si>
    <t>Athlète</t>
  </si>
  <si>
    <t>Perf</t>
  </si>
  <si>
    <t>Pts</t>
  </si>
  <si>
    <t xml:space="preserve">Athlète </t>
  </si>
  <si>
    <t>ligne</t>
  </si>
  <si>
    <t>Epreuves</t>
  </si>
  <si>
    <t>Perf 1</t>
  </si>
  <si>
    <t>Perf 2</t>
  </si>
  <si>
    <t>100 m</t>
  </si>
  <si>
    <t>ROUX P,A,</t>
  </si>
  <si>
    <t>BRETECHER Julia</t>
  </si>
  <si>
    <t>MENDES Evelina</t>
  </si>
  <si>
    <t>200 m</t>
  </si>
  <si>
    <t>BEHRA Candice</t>
  </si>
  <si>
    <t>400 m</t>
  </si>
  <si>
    <t>POTE Maximilien</t>
  </si>
  <si>
    <t>CLAUSIER Mickael</t>
  </si>
  <si>
    <t>GUILLET Vanille</t>
  </si>
  <si>
    <t>800 m</t>
  </si>
  <si>
    <t>LEGUENNE Thomas</t>
  </si>
  <si>
    <t>LECOURT Blandine</t>
  </si>
  <si>
    <t>1500 m</t>
  </si>
  <si>
    <t>LALOUF Antoine</t>
  </si>
  <si>
    <t>BUET Maelle</t>
  </si>
  <si>
    <t>3000 m</t>
  </si>
  <si>
    <t>110 H</t>
  </si>
  <si>
    <t>PARLIER Jules</t>
  </si>
  <si>
    <t>100 H</t>
  </si>
  <si>
    <t>GOMIS Sandra</t>
  </si>
  <si>
    <t>400 H</t>
  </si>
  <si>
    <t>LEFEBVRE Quentin</t>
  </si>
  <si>
    <t>BONNET Virginie</t>
  </si>
  <si>
    <t>BOUEC Morgane</t>
  </si>
  <si>
    <t>3000 St</t>
  </si>
  <si>
    <t>MARCHE</t>
  </si>
  <si>
    <t>5000 M</t>
  </si>
  <si>
    <t>MAUDET Vincent</t>
  </si>
  <si>
    <t>HAUT</t>
  </si>
  <si>
    <t>LECOZ Léna</t>
  </si>
  <si>
    <t>LONG</t>
  </si>
  <si>
    <t>TRIPLE</t>
  </si>
  <si>
    <t>PERCHE</t>
  </si>
  <si>
    <t>FONDIN Simon</t>
  </si>
  <si>
    <t>POIDS</t>
  </si>
  <si>
    <t>ADDRA Inès</t>
  </si>
  <si>
    <t>GROMAND Vincent</t>
  </si>
  <si>
    <t>DISQUE</t>
  </si>
  <si>
    <t xml:space="preserve"> LETALLEC Morgan</t>
  </si>
  <si>
    <t>MONTALVO Titouan</t>
  </si>
  <si>
    <t>JAVELOT</t>
  </si>
  <si>
    <t>MARTEAU</t>
  </si>
  <si>
    <t>CHERAUD Lysiane</t>
  </si>
  <si>
    <t>PENNETIER Alois</t>
  </si>
  <si>
    <t>RELAIS</t>
  </si>
  <si>
    <t>4x100</t>
  </si>
  <si>
    <t>4x400</t>
  </si>
  <si>
    <t>H+F</t>
  </si>
  <si>
    <t>VENDOME Léa</t>
  </si>
  <si>
    <t>BIOTTEAU Ndeye-Marie</t>
  </si>
  <si>
    <t>GASNIER Kathleen</t>
  </si>
  <si>
    <t>CHAIGNEAU Tom</t>
  </si>
  <si>
    <t xml:space="preserve">DELEANT Antoine </t>
  </si>
  <si>
    <t xml:space="preserve">VALENTIN Nicolas  </t>
  </si>
  <si>
    <t>BOURRIEAU Allan</t>
  </si>
  <si>
    <t>LERMUSIAUX Alice</t>
  </si>
  <si>
    <t xml:space="preserve">BIFFE Manon  </t>
  </si>
  <si>
    <t xml:space="preserve">ODIAU Mathilde  </t>
  </si>
  <si>
    <t xml:space="preserve">HUGUET Anne-france </t>
  </si>
  <si>
    <t xml:space="preserve">AIDOUNI Lea   </t>
  </si>
  <si>
    <t>800, 1500, 3000</t>
  </si>
  <si>
    <t>LECADRE Josue</t>
  </si>
  <si>
    <t>BACONNAIS Corentin</t>
  </si>
  <si>
    <t>HUGUET Ronan</t>
  </si>
  <si>
    <t xml:space="preserve">PIAUT Valentin </t>
  </si>
  <si>
    <t xml:space="preserve">DETHARE Matheo  </t>
  </si>
  <si>
    <t>CHAUVIN Thimotée</t>
  </si>
  <si>
    <t>REVERDY Simon</t>
  </si>
  <si>
    <t>SOULON Mathilde</t>
  </si>
  <si>
    <t xml:space="preserve">ABOUELFATH Sabrina </t>
  </si>
  <si>
    <t>800, 1500</t>
  </si>
  <si>
    <t>absent 1er tour</t>
  </si>
  <si>
    <t>SAVOYE Quentin</t>
  </si>
  <si>
    <t>absent aux 2 tours</t>
  </si>
  <si>
    <t>DOJAQUEZ Nathan</t>
  </si>
  <si>
    <t>absente 1er tour</t>
  </si>
  <si>
    <t>absente 2ème tour (1er ?)</t>
  </si>
  <si>
    <t xml:space="preserve">absente 2ème tour </t>
  </si>
  <si>
    <t>LECLAICHE Romain</t>
  </si>
  <si>
    <t>GAUTIER Baptiste</t>
  </si>
  <si>
    <t>100, long</t>
  </si>
  <si>
    <t>JAHAN Thomas</t>
  </si>
  <si>
    <t>BERNIER David</t>
  </si>
  <si>
    <t>LOIRAT Louis</t>
  </si>
  <si>
    <t>DELCAMBRE Clément</t>
  </si>
  <si>
    <t>3000 steeple</t>
  </si>
  <si>
    <t>AUBENEAU Arthur</t>
  </si>
  <si>
    <t>LELIEVRE Blanche</t>
  </si>
  <si>
    <t>GESSAT Margaux</t>
  </si>
  <si>
    <t>SIMONEAU Lucille</t>
  </si>
  <si>
    <t>triple ? 4H ? Javelot</t>
  </si>
  <si>
    <t>GRASSET Manon</t>
  </si>
  <si>
    <t>absente 2 tours</t>
  </si>
  <si>
    <t>DEVOUGE Sarah</t>
  </si>
  <si>
    <r>
      <t xml:space="preserve">absente 1er tour, </t>
    </r>
    <r>
      <rPr>
        <sz val="12"/>
        <rFont val="Arial"/>
        <family val="2"/>
      </rPr>
      <t>1500, poids</t>
    </r>
  </si>
  <si>
    <r>
      <t xml:space="preserve">javelot, </t>
    </r>
    <r>
      <rPr>
        <b/>
        <sz val="12"/>
        <color rgb="FFFF0000"/>
        <rFont val="Arial"/>
        <family val="2"/>
      </rPr>
      <t>absent 2ème tour</t>
    </r>
  </si>
  <si>
    <t>absent 2 tours</t>
  </si>
  <si>
    <t>PICARD Watten</t>
  </si>
  <si>
    <r>
      <rPr>
        <sz val="12"/>
        <rFont val="Arial"/>
        <family val="2"/>
      </rPr>
      <t xml:space="preserve">100, 100H, haut, </t>
    </r>
    <r>
      <rPr>
        <b/>
        <sz val="12"/>
        <color rgb="FFFF0000"/>
        <rFont val="Arial"/>
        <family val="2"/>
      </rPr>
      <t>absente 2ème tour</t>
    </r>
  </si>
  <si>
    <t>GOMES Ceuzinah</t>
  </si>
  <si>
    <t>BRETAUDEAU Lucille</t>
  </si>
  <si>
    <t>LEMEUR Antoine</t>
  </si>
  <si>
    <t>4H?</t>
  </si>
  <si>
    <t>absente 2 tours, blessée</t>
  </si>
  <si>
    <t>HURUGUEN Alan</t>
  </si>
  <si>
    <t>MINOCHE Benjamin</t>
  </si>
  <si>
    <t>SCHLEINTZAUER Hugues</t>
  </si>
  <si>
    <t xml:space="preserve">INTERCLUBS  2018    SIMULATION  EQUIPE 1    </t>
  </si>
  <si>
    <t>INTERCLUBS  2018    SIMULATION  EQUIPE 2</t>
  </si>
  <si>
    <r>
      <t xml:space="preserve">DELATTRE Olivier
</t>
    </r>
    <r>
      <rPr>
        <b/>
        <sz val="12"/>
        <color rgb="FFFF0000"/>
        <rFont val="Arial"/>
        <family val="2"/>
      </rPr>
      <t>ou AUBENEAU Arthur</t>
    </r>
  </si>
  <si>
    <t>ROLLAND Rebecca</t>
  </si>
  <si>
    <r>
      <t xml:space="preserve">VENDOME Isabelle
</t>
    </r>
    <r>
      <rPr>
        <b/>
        <sz val="12"/>
        <color rgb="FFFF0000"/>
        <rFont val="Arial"/>
        <family val="2"/>
      </rPr>
      <t>ou GAHERY Lucie</t>
    </r>
  </si>
  <si>
    <t>PLOQUIN Pierre</t>
  </si>
  <si>
    <t>GILLET Corentin</t>
  </si>
  <si>
    <t>IMBERT Lilian</t>
  </si>
  <si>
    <t>REAULT Guillaume</t>
  </si>
  <si>
    <t>MAGRE Corentin</t>
  </si>
  <si>
    <t>ROLLAND Nathan</t>
  </si>
  <si>
    <t>SAHORES Aldric</t>
  </si>
  <si>
    <t>BURGAUD Elie</t>
  </si>
  <si>
    <t>MARESCHAL Mathieu</t>
  </si>
  <si>
    <t>ANDRES Luis</t>
  </si>
  <si>
    <t>HERVY Jérome</t>
  </si>
  <si>
    <t>TASSET Mathéo</t>
  </si>
  <si>
    <t>GAUDIN Thomas</t>
  </si>
  <si>
    <t>LECADRE Josselin</t>
  </si>
  <si>
    <t>BALAGUER Sofia</t>
  </si>
  <si>
    <t>FAUVEDER Karène</t>
  </si>
  <si>
    <t>BEZIER Flavie</t>
  </si>
  <si>
    <t xml:space="preserve">ABOUELFATH Shérine </t>
  </si>
  <si>
    <t>SABIRI Astrid</t>
  </si>
  <si>
    <t>TISSOT Paola</t>
  </si>
  <si>
    <t>JAFFRAY Pauline</t>
  </si>
  <si>
    <t>PICARD Wattenn</t>
  </si>
  <si>
    <t>GOMES SA Ceuzinha</t>
  </si>
  <si>
    <t>BOISSEAU Marine</t>
  </si>
  <si>
    <t>BOISNARD Clémence</t>
  </si>
  <si>
    <t>BACONNAIS Nolwenn</t>
  </si>
  <si>
    <t>AVRIL Monique</t>
  </si>
  <si>
    <t>DUVAL Emma</t>
  </si>
  <si>
    <t xml:space="preserve">BIEWER Anais </t>
  </si>
  <si>
    <t>NEUMAN Caroline ou BONNET Philippine</t>
  </si>
  <si>
    <t>THONIN Jade</t>
  </si>
  <si>
    <t>KERRIEN Clarisse</t>
  </si>
  <si>
    <t>Pornichet 100 ou 200</t>
  </si>
  <si>
    <t>TOUGERON Lola</t>
  </si>
  <si>
    <t>SERRA Chloe ou SECHE Aurélie</t>
  </si>
  <si>
    <t xml:space="preserve"> DELCAMBRE Benoit</t>
  </si>
  <si>
    <t>PERRAY Clément</t>
  </si>
  <si>
    <t>absente 1er tour, triple ou hauteur au 2ème</t>
  </si>
  <si>
    <t>SNZ ??</t>
  </si>
  <si>
    <t>GAHERT Lucie</t>
  </si>
  <si>
    <t>absente 1er tour blessée</t>
  </si>
  <si>
    <t>MORISSEAU Louise</t>
  </si>
  <si>
    <t>Guérande 200, triple</t>
  </si>
  <si>
    <t>Louis Andres</t>
  </si>
  <si>
    <t xml:space="preserve">Paul Cheron </t>
  </si>
  <si>
    <t xml:space="preserve">Matheo Dethare </t>
  </si>
  <si>
    <t>400, 800, 1500</t>
  </si>
  <si>
    <t>Blanche Lelièvre</t>
  </si>
  <si>
    <t>Sorin Nicolas</t>
  </si>
  <si>
    <t>Deléant Gautier Lefevre Leclainche</t>
  </si>
  <si>
    <t>Clausier Baconnais Leguenne Pote</t>
  </si>
  <si>
    <t>Bretécher Vendôme Addra  Gomis</t>
  </si>
  <si>
    <t>Bonnet Bouec Lermusiaux Behra</t>
  </si>
  <si>
    <t>Nathan Gautier</t>
  </si>
  <si>
    <t>Léo Bizeul</t>
  </si>
  <si>
    <t>Thomas Jahan</t>
  </si>
  <si>
    <t>Youlyann Morandeau</t>
  </si>
  <si>
    <t>Gael Druez</t>
  </si>
  <si>
    <t>Maelan Kerneguez</t>
  </si>
  <si>
    <t>Burgaud Tasset Imbert Ploquin</t>
  </si>
  <si>
    <t>Guibert Andres Réau Chasseriau</t>
  </si>
  <si>
    <t>Florent Gerbaud</t>
  </si>
  <si>
    <t>Louise Morisseau</t>
  </si>
  <si>
    <t>Isabelle VENDOME</t>
  </si>
  <si>
    <t>Chloé LEGAULT</t>
  </si>
  <si>
    <t>Astrid SABIRI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</si>
</sst>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[$-40C]General"/>
  </numFmts>
  <fonts count="17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4"/>
      <color rgb="FF7030A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5" fontId="6" fillId="0" borderId="0" applyBorder="0" applyProtection="0"/>
    <xf numFmtId="0" fontId="7" fillId="0" borderId="0" applyNumberFormat="0" applyFill="0" applyBorder="0" applyProtection="0"/>
    <xf numFmtId="0" fontId="8" fillId="0" borderId="0"/>
    <xf numFmtId="0" fontId="7" fillId="0" borderId="0" applyNumberFormat="0" applyFill="0" applyBorder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</cellStyleXfs>
  <cellXfs count="64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Fill="1"/>
    <xf numFmtId="0" fontId="10" fillId="0" borderId="0" xfId="1" applyFont="1" applyBorder="1"/>
    <xf numFmtId="0" fontId="10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/>
    <xf numFmtId="164" fontId="14" fillId="0" borderId="1" xfId="1" applyNumberFormat="1" applyFont="1" applyFill="1" applyBorder="1" applyAlignment="1" applyProtection="1">
      <alignment horizontal="center" vertical="center"/>
    </xf>
    <xf numFmtId="164" fontId="14" fillId="0" borderId="1" xfId="1" quotePrefix="1" applyNumberFormat="1" applyFont="1" applyFill="1" applyBorder="1" applyAlignment="1" applyProtection="1">
      <alignment horizontal="center" vertical="center"/>
    </xf>
    <xf numFmtId="164" fontId="14" fillId="0" borderId="0" xfId="1" quotePrefix="1" applyNumberFormat="1" applyFont="1" applyFill="1" applyBorder="1" applyAlignment="1" applyProtection="1">
      <alignment horizontal="center" vertical="center"/>
    </xf>
    <xf numFmtId="0" fontId="15" fillId="0" borderId="0" xfId="1" applyFont="1" applyBorder="1"/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>
      <alignment horizontal="left" vertical="center"/>
    </xf>
    <xf numFmtId="0" fontId="13" fillId="2" borderId="3" xfId="1" applyFont="1" applyFill="1" applyBorder="1" applyAlignment="1" applyProtection="1">
      <alignment vertical="center" wrapText="1"/>
      <protection locked="0"/>
    </xf>
    <xf numFmtId="0" fontId="11" fillId="2" borderId="3" xfId="1" applyFont="1" applyFill="1" applyBorder="1" applyAlignment="1" applyProtection="1">
      <alignment vertical="center" wrapText="1"/>
      <protection locked="0"/>
    </xf>
    <xf numFmtId="0" fontId="13" fillId="0" borderId="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164" fontId="11" fillId="2" borderId="3" xfId="1" applyNumberFormat="1" applyFont="1" applyFill="1" applyBorder="1" applyAlignment="1" applyProtection="1">
      <alignment vertical="center" wrapText="1"/>
    </xf>
    <xf numFmtId="164" fontId="11" fillId="2" borderId="4" xfId="1" applyNumberFormat="1" applyFont="1" applyFill="1" applyBorder="1" applyAlignment="1" applyProtection="1">
      <alignment vertical="center" wrapText="1"/>
    </xf>
    <xf numFmtId="164" fontId="11" fillId="2" borderId="5" xfId="1" applyNumberFormat="1" applyFont="1" applyFill="1" applyBorder="1" applyAlignment="1" applyProtection="1">
      <alignment vertical="center" wrapText="1"/>
    </xf>
    <xf numFmtId="164" fontId="13" fillId="2" borderId="3" xfId="1" applyNumberFormat="1" applyFont="1" applyFill="1" applyBorder="1" applyAlignment="1" applyProtection="1">
      <alignment vertical="center" wrapText="1"/>
    </xf>
    <xf numFmtId="164" fontId="13" fillId="2" borderId="4" xfId="1" applyNumberFormat="1" applyFont="1" applyFill="1" applyBorder="1" applyAlignment="1" applyProtection="1">
      <alignment vertical="center" wrapText="1"/>
    </xf>
    <xf numFmtId="164" fontId="13" fillId="2" borderId="5" xfId="1" applyNumberFormat="1" applyFont="1" applyFill="1" applyBorder="1" applyAlignment="1" applyProtection="1">
      <alignment vertical="center" wrapText="1"/>
    </xf>
    <xf numFmtId="0" fontId="12" fillId="2" borderId="1" xfId="1" applyFont="1" applyFill="1" applyBorder="1" applyAlignment="1" applyProtection="1">
      <alignment horizontal="left" vertical="center"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2" fontId="5" fillId="3" borderId="1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" fontId="5" fillId="3" borderId="1" xfId="1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vertical="center" wrapText="1"/>
      <protection locked="0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</cellXfs>
  <cellStyles count="11">
    <cellStyle name="Excel Built-in Normal" xfId="2"/>
    <cellStyle name="Normal" xfId="0" builtinId="0"/>
    <cellStyle name="Normal 2" xfId="1"/>
    <cellStyle name="Normal 3" xfId="3"/>
    <cellStyle name="Normal 3 2" xfId="4"/>
    <cellStyle name="Normal 4" xfId="5"/>
    <cellStyle name="Normal 4 2" xfId="6"/>
    <cellStyle name="Normal 5" xfId="7"/>
    <cellStyle name="Normal 6" xfId="8"/>
    <cellStyle name="Normal 6 2" xfId="9"/>
    <cellStyle name="TableStyleLigh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zoomScale="50" zoomScaleNormal="50" workbookViewId="0">
      <selection activeCell="O18" sqref="O18"/>
    </sheetView>
  </sheetViews>
  <sheetFormatPr baseColWidth="10" defaultRowHeight="12.75" x14ac:dyDescent="0.2"/>
  <cols>
    <col min="1" max="1" width="15.42578125" style="3" customWidth="1"/>
    <col min="2" max="2" width="30.42578125" style="1" customWidth="1"/>
    <col min="3" max="3" width="10.7109375" style="1" customWidth="1"/>
    <col min="4" max="4" width="9" style="1" customWidth="1"/>
    <col min="5" max="5" width="36.140625" style="1" customWidth="1"/>
    <col min="6" max="6" width="10.7109375" style="1" customWidth="1"/>
    <col min="7" max="7" width="9.28515625" style="1" customWidth="1"/>
    <col min="8" max="8" width="10.7109375" style="1" customWidth="1"/>
    <col min="9" max="9" width="13" style="1" customWidth="1"/>
    <col min="10" max="10" width="2.85546875" style="1" customWidth="1"/>
    <col min="11" max="11" width="15.5703125" style="1" customWidth="1"/>
    <col min="12" max="12" width="32.28515625" style="1" customWidth="1"/>
    <col min="13" max="13" width="11.7109375" style="1" customWidth="1"/>
    <col min="14" max="14" width="8.7109375" style="1" customWidth="1"/>
    <col min="15" max="15" width="32.85546875" style="1" customWidth="1"/>
    <col min="16" max="16" width="9.7109375" style="1" customWidth="1"/>
    <col min="17" max="17" width="8.5703125" style="1" customWidth="1"/>
    <col min="18" max="18" width="9.7109375" style="1" customWidth="1"/>
    <col min="19" max="19" width="12.28515625" style="1" customWidth="1"/>
    <col min="20" max="20" width="4.7109375" style="1" customWidth="1"/>
    <col min="21" max="16384" width="11.42578125" style="1"/>
  </cols>
  <sheetData>
    <row r="1" spans="1:19" ht="51" customHeight="1" x14ac:dyDescent="0.2">
      <c r="A1" s="57" t="s">
        <v>119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7.75" customHeight="1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12"/>
      <c r="K2" s="60" t="s">
        <v>1</v>
      </c>
      <c r="L2" s="60"/>
      <c r="M2" s="60"/>
      <c r="N2" s="60"/>
      <c r="O2" s="60"/>
      <c r="P2" s="60"/>
      <c r="Q2" s="60"/>
      <c r="R2" s="60"/>
      <c r="S2" s="60"/>
    </row>
    <row r="3" spans="1:19" ht="32.25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4</v>
      </c>
      <c r="G3" s="9" t="s">
        <v>5</v>
      </c>
      <c r="H3" s="9" t="s">
        <v>7</v>
      </c>
      <c r="I3" s="10"/>
      <c r="J3" s="11"/>
      <c r="K3" s="9" t="s">
        <v>8</v>
      </c>
      <c r="L3" s="9" t="s">
        <v>3</v>
      </c>
      <c r="M3" s="9" t="s">
        <v>9</v>
      </c>
      <c r="N3" s="9" t="s">
        <v>5</v>
      </c>
      <c r="O3" s="9" t="s">
        <v>3</v>
      </c>
      <c r="P3" s="9" t="s">
        <v>10</v>
      </c>
      <c r="Q3" s="9" t="s">
        <v>5</v>
      </c>
      <c r="R3" s="9" t="s">
        <v>7</v>
      </c>
      <c r="S3" s="10"/>
    </row>
    <row r="4" spans="1:19" s="2" customFormat="1" ht="42.75" customHeight="1" x14ac:dyDescent="0.2">
      <c r="A4" s="13" t="s">
        <v>11</v>
      </c>
      <c r="B4" s="44" t="s">
        <v>90</v>
      </c>
      <c r="C4" s="30">
        <v>11.7</v>
      </c>
      <c r="D4" s="31">
        <f>TRUNC(21.77/2*((C4-17.5)^2+(C4-17.5+0)^2)-0)</f>
        <v>732</v>
      </c>
      <c r="E4" s="46" t="s">
        <v>91</v>
      </c>
      <c r="F4" s="32">
        <v>11.9</v>
      </c>
      <c r="G4" s="33">
        <f>TRUNC(21.77/2*((F4-17.5)^2+(F4-17.5+0)^2)-0)</f>
        <v>682</v>
      </c>
      <c r="H4" s="33">
        <f t="shared" ref="H4:H22" si="0">+G4+D4</f>
        <v>1414</v>
      </c>
      <c r="I4" s="33">
        <f t="shared" ref="I4:I22" si="1">+I3+H4</f>
        <v>1414</v>
      </c>
      <c r="J4" s="34"/>
      <c r="K4" s="13" t="s">
        <v>11</v>
      </c>
      <c r="L4" s="44" t="s">
        <v>68</v>
      </c>
      <c r="M4" s="35">
        <v>13.6</v>
      </c>
      <c r="N4" s="31">
        <f>TRUNC(6.5713/2*((M4-24.5)^2+(M4-24.5+0)^2)-0)</f>
        <v>780</v>
      </c>
      <c r="O4" s="47" t="s">
        <v>13</v>
      </c>
      <c r="P4" s="36">
        <v>13.8</v>
      </c>
      <c r="Q4" s="33">
        <f>TRUNC(6.5713/2*((P4-24.5)^2+(P4-24.5+0)^2)-0)</f>
        <v>752</v>
      </c>
      <c r="R4" s="37">
        <f t="shared" ref="R4:R21" si="2">+Q4+N4</f>
        <v>1532</v>
      </c>
      <c r="S4" s="33">
        <f t="shared" ref="S4:S21" si="3">+S3+R4</f>
        <v>1532</v>
      </c>
    </row>
    <row r="5" spans="1:19" s="2" customFormat="1" ht="42.75" customHeight="1" x14ac:dyDescent="0.2">
      <c r="A5" s="13" t="s">
        <v>15</v>
      </c>
      <c r="B5" s="44" t="s">
        <v>74</v>
      </c>
      <c r="C5" s="30">
        <v>25.5</v>
      </c>
      <c r="D5" s="31">
        <f>TRUNC(4.799/2*((C5-36)^2+(C5-36+0)^2)-0)</f>
        <v>529</v>
      </c>
      <c r="E5" s="44" t="s">
        <v>172</v>
      </c>
      <c r="F5" s="32">
        <v>24</v>
      </c>
      <c r="G5" s="33">
        <f>TRUNC(4.799/2*((F5-36)^2+(F5-36+0)^2)-0)</f>
        <v>691</v>
      </c>
      <c r="H5" s="33">
        <f t="shared" si="0"/>
        <v>1220</v>
      </c>
      <c r="I5" s="33">
        <f t="shared" si="1"/>
        <v>2634</v>
      </c>
      <c r="J5" s="34"/>
      <c r="K5" s="13" t="s">
        <v>15</v>
      </c>
      <c r="L5" s="44" t="s">
        <v>16</v>
      </c>
      <c r="M5" s="36">
        <v>26.8</v>
      </c>
      <c r="N5" s="31">
        <f>TRUNC(1.2685/2*((M5-53)^2+(M5-53+0)^2)-0)</f>
        <v>870</v>
      </c>
      <c r="O5" s="44" t="s">
        <v>139</v>
      </c>
      <c r="P5" s="36">
        <v>29</v>
      </c>
      <c r="Q5" s="33">
        <f>TRUNC(1.2685/2*((P5-53)^2+(P5-53+0)^2)-0)</f>
        <v>730</v>
      </c>
      <c r="R5" s="37">
        <f t="shared" si="2"/>
        <v>1600</v>
      </c>
      <c r="S5" s="33">
        <f t="shared" si="3"/>
        <v>3132</v>
      </c>
    </row>
    <row r="6" spans="1:19" s="2" customFormat="1" ht="42.75" customHeight="1" x14ac:dyDescent="0.2">
      <c r="A6" s="13" t="s">
        <v>17</v>
      </c>
      <c r="B6" s="46" t="s">
        <v>18</v>
      </c>
      <c r="C6" s="35">
        <v>50.85</v>
      </c>
      <c r="D6" s="31">
        <f>TRUNC(0.8582/2*((C6-82)^2+(C6-82+0)^2)-0)</f>
        <v>832</v>
      </c>
      <c r="E6" s="44" t="s">
        <v>19</v>
      </c>
      <c r="F6" s="36">
        <v>53.4</v>
      </c>
      <c r="G6" s="33">
        <f>TRUNC(0.8582/2*((F6-82)^2+(F6-82+0)^2)-0)</f>
        <v>701</v>
      </c>
      <c r="H6" s="33">
        <f t="shared" si="0"/>
        <v>1533</v>
      </c>
      <c r="I6" s="33">
        <f t="shared" si="1"/>
        <v>4167</v>
      </c>
      <c r="J6" s="34"/>
      <c r="K6" s="13" t="s">
        <v>17</v>
      </c>
      <c r="L6" s="47" t="s">
        <v>47</v>
      </c>
      <c r="M6" s="35">
        <v>64</v>
      </c>
      <c r="N6" s="31">
        <f>TRUNC(0.2453/2*((M6-120)^2+(M6-120+0)^2)-0)</f>
        <v>769</v>
      </c>
      <c r="O6" s="50" t="s">
        <v>141</v>
      </c>
      <c r="P6" s="36">
        <v>68</v>
      </c>
      <c r="Q6" s="33">
        <f>TRUNC(0.2453/2*((P6-120)^2+(P6-120+0)^2)-0)</f>
        <v>663</v>
      </c>
      <c r="R6" s="37">
        <f t="shared" si="2"/>
        <v>1432</v>
      </c>
      <c r="S6" s="33">
        <f t="shared" si="3"/>
        <v>4564</v>
      </c>
    </row>
    <row r="7" spans="1:19" s="2" customFormat="1" ht="42.75" customHeight="1" x14ac:dyDescent="0.2">
      <c r="A7" s="13" t="s">
        <v>21</v>
      </c>
      <c r="B7" s="44" t="s">
        <v>22</v>
      </c>
      <c r="C7" s="35">
        <v>1.5825</v>
      </c>
      <c r="D7" s="31">
        <f>TRUNC(0.18778*(100*(C7-TRUNC(C7))+TRUNC(C7)*60-184)^2)</f>
        <v>811</v>
      </c>
      <c r="E7" s="46" t="s">
        <v>73</v>
      </c>
      <c r="F7" s="36">
        <v>2.02</v>
      </c>
      <c r="G7" s="33">
        <f>TRUNC(0.18778*(100*(F7-TRUNC(F7))+TRUNC(F7)*60-184)^2)</f>
        <v>721</v>
      </c>
      <c r="H7" s="33">
        <f t="shared" si="0"/>
        <v>1532</v>
      </c>
      <c r="I7" s="33">
        <f t="shared" si="1"/>
        <v>5699</v>
      </c>
      <c r="J7" s="34"/>
      <c r="K7" s="13" t="s">
        <v>21</v>
      </c>
      <c r="L7" s="50" t="s">
        <v>171</v>
      </c>
      <c r="M7" s="35">
        <v>2.35</v>
      </c>
      <c r="N7" s="31">
        <f>TRUNC(0.06826*(100*(M7-TRUNC(M7))+TRUNC(M7)*60-250)^2)</f>
        <v>616</v>
      </c>
      <c r="O7" s="50" t="s">
        <v>81</v>
      </c>
      <c r="P7" s="35">
        <v>2.4</v>
      </c>
      <c r="Q7" s="33">
        <f>TRUNC(0.06826*(100*(P7-TRUNC(P7))+TRUNC(P7)*60-250)^2)</f>
        <v>552</v>
      </c>
      <c r="R7" s="37">
        <f t="shared" si="2"/>
        <v>1168</v>
      </c>
      <c r="S7" s="33">
        <f t="shared" si="3"/>
        <v>5732</v>
      </c>
    </row>
    <row r="8" spans="1:19" s="2" customFormat="1" ht="42.75" customHeight="1" x14ac:dyDescent="0.2">
      <c r="A8" s="13" t="s">
        <v>24</v>
      </c>
      <c r="B8" s="44" t="s">
        <v>75</v>
      </c>
      <c r="C8" s="35">
        <v>4.05</v>
      </c>
      <c r="D8" s="31">
        <f>TRUNC(0.04066*(100*(C8-TRUNC(C8))+TRUNC(C8)*60-385)^2)</f>
        <v>796</v>
      </c>
      <c r="E8" s="44" t="s">
        <v>25</v>
      </c>
      <c r="F8" s="36">
        <v>4.0999999999999996</v>
      </c>
      <c r="G8" s="33">
        <f>TRUNC(0.04066*(100*(F8-TRUNC(F8))+TRUNC(F8)*60-385)^2)</f>
        <v>741</v>
      </c>
      <c r="H8" s="33">
        <f>+G8+D8</f>
        <v>1537</v>
      </c>
      <c r="I8" s="33">
        <f t="shared" si="1"/>
        <v>7236</v>
      </c>
      <c r="J8" s="34"/>
      <c r="K8" s="13" t="s">
        <v>24</v>
      </c>
      <c r="L8" s="44" t="s">
        <v>67</v>
      </c>
      <c r="M8" s="38">
        <v>4.55</v>
      </c>
      <c r="N8" s="31">
        <f>TRUNC(0.013457*(100*(M8-TRUNC(M8))+TRUNC(M8)*60-540)^2)</f>
        <v>807</v>
      </c>
      <c r="O8" s="48" t="s">
        <v>20</v>
      </c>
      <c r="P8" s="38">
        <v>5.15</v>
      </c>
      <c r="Q8" s="33">
        <f>TRUNC(0.013457*(100*(P8-TRUNC(P8))+TRUNC(P8)*60-540)^2)</f>
        <v>681</v>
      </c>
      <c r="R8" s="37">
        <f t="shared" si="2"/>
        <v>1488</v>
      </c>
      <c r="S8" s="33">
        <f t="shared" si="3"/>
        <v>7220</v>
      </c>
    </row>
    <row r="9" spans="1:19" s="2" customFormat="1" ht="42.75" customHeight="1" x14ac:dyDescent="0.2">
      <c r="A9" s="13" t="s">
        <v>27</v>
      </c>
      <c r="B9" s="44" t="s">
        <v>94</v>
      </c>
      <c r="C9" s="35">
        <v>9.15</v>
      </c>
      <c r="D9" s="31">
        <f>TRUNC(0.008189*(100*(C9-TRUNC(C9))+TRUNC(C9)*60-840)^2)</f>
        <v>665</v>
      </c>
      <c r="E9" s="56" t="s">
        <v>160</v>
      </c>
      <c r="F9" s="36">
        <v>9.3000000000000007</v>
      </c>
      <c r="G9" s="33">
        <f>TRUNC(0.008189*(100*(F9-TRUNC(F9))+TRUNC(F9)*60-840)^2)</f>
        <v>596</v>
      </c>
      <c r="H9" s="33">
        <f t="shared" si="0"/>
        <v>1261</v>
      </c>
      <c r="I9" s="33">
        <f t="shared" si="1"/>
        <v>8497</v>
      </c>
      <c r="J9" s="34"/>
      <c r="K9" s="13" t="s">
        <v>27</v>
      </c>
      <c r="L9" s="44" t="s">
        <v>80</v>
      </c>
      <c r="M9" s="35">
        <v>11.3</v>
      </c>
      <c r="N9" s="31">
        <f>TRUNC(0.002568*(100*(M9-TRUNC(M9))+TRUNC(M9)*60-1200)^2)</f>
        <v>667</v>
      </c>
      <c r="O9" s="44" t="s">
        <v>71</v>
      </c>
      <c r="P9" s="36">
        <v>11.45</v>
      </c>
      <c r="Q9" s="33">
        <f>TRUNC(0.002568*(100*(P9-TRUNC(P9))+TRUNC(P9)*60-1200)^2)</f>
        <v>629</v>
      </c>
      <c r="R9" s="37">
        <f t="shared" si="2"/>
        <v>1296</v>
      </c>
      <c r="S9" s="33">
        <f t="shared" si="3"/>
        <v>8516</v>
      </c>
    </row>
    <row r="10" spans="1:19" s="2" customFormat="1" ht="42.75" customHeight="1" x14ac:dyDescent="0.2">
      <c r="A10" s="13" t="s">
        <v>28</v>
      </c>
      <c r="B10" s="46" t="s">
        <v>64</v>
      </c>
      <c r="C10" s="35">
        <v>17</v>
      </c>
      <c r="D10" s="31">
        <f>TRUNC(5.58/2*((C10-28)^2+(C10-28+0)^2)-0)</f>
        <v>675</v>
      </c>
      <c r="E10" s="44" t="s">
        <v>33</v>
      </c>
      <c r="F10" s="35">
        <v>17</v>
      </c>
      <c r="G10" s="31">
        <f>TRUNC(5.58/2*((F10-28)^2+(F10-28+0)^2)-0)</f>
        <v>675</v>
      </c>
      <c r="H10" s="33">
        <f>+G10+D10</f>
        <v>1350</v>
      </c>
      <c r="I10" s="33">
        <f t="shared" si="1"/>
        <v>9847</v>
      </c>
      <c r="J10" s="34"/>
      <c r="K10" s="13" t="s">
        <v>30</v>
      </c>
      <c r="L10" s="44" t="s">
        <v>31</v>
      </c>
      <c r="M10" s="35">
        <v>13.5</v>
      </c>
      <c r="N10" s="31">
        <f>TRUNC(3.4273/2*((M10-31.4)^2+(M10-31.4+0)^2)-0)</f>
        <v>1098</v>
      </c>
      <c r="O10" s="47" t="s">
        <v>60</v>
      </c>
      <c r="P10" s="36">
        <v>15.1</v>
      </c>
      <c r="Q10" s="33">
        <f>TRUNC(3.4273/2*((P10-31.4)^2+(P10-31.4+0)^2)-0)</f>
        <v>910</v>
      </c>
      <c r="R10" s="37">
        <f t="shared" si="2"/>
        <v>2008</v>
      </c>
      <c r="S10" s="33">
        <f t="shared" si="3"/>
        <v>10524</v>
      </c>
    </row>
    <row r="11" spans="1:19" s="2" customFormat="1" ht="42.75" customHeight="1" x14ac:dyDescent="0.2">
      <c r="A11" s="13" t="s">
        <v>32</v>
      </c>
      <c r="B11" s="46" t="s">
        <v>12</v>
      </c>
      <c r="C11" s="35">
        <v>62</v>
      </c>
      <c r="D11" s="31">
        <f>TRUNC(0.4192/2*((C11-102)^2+(C11-102+0)^2)-0)</f>
        <v>670</v>
      </c>
      <c r="E11" s="44" t="s">
        <v>116</v>
      </c>
      <c r="F11" s="36">
        <v>62</v>
      </c>
      <c r="G11" s="33">
        <f>TRUNC(0.4192/2*((F11-102)^2+(F11-102+0)^2)-0)</f>
        <v>670</v>
      </c>
      <c r="H11" s="33">
        <f t="shared" si="0"/>
        <v>1340</v>
      </c>
      <c r="I11" s="33">
        <f t="shared" si="1"/>
        <v>11187</v>
      </c>
      <c r="J11" s="34"/>
      <c r="K11" s="13" t="s">
        <v>32</v>
      </c>
      <c r="L11" s="44" t="s">
        <v>34</v>
      </c>
      <c r="M11" s="35">
        <v>70</v>
      </c>
      <c r="N11" s="39">
        <f>TRUNC(0.1637/2*((M11-140)^2+(M11-140+0)^2)-0)</f>
        <v>802</v>
      </c>
      <c r="O11" s="46" t="s">
        <v>35</v>
      </c>
      <c r="P11" s="36">
        <v>70</v>
      </c>
      <c r="Q11" s="40">
        <f>TRUNC(0.1637/2*((P11-140)^2+(P11-140+0)^2)-0)</f>
        <v>802</v>
      </c>
      <c r="R11" s="37">
        <f t="shared" si="2"/>
        <v>1604</v>
      </c>
      <c r="S11" s="33">
        <f t="shared" si="3"/>
        <v>12128</v>
      </c>
    </row>
    <row r="12" spans="1:19" s="2" customFormat="1" ht="42.75" customHeight="1" x14ac:dyDescent="0.2">
      <c r="A12" s="13" t="s">
        <v>36</v>
      </c>
      <c r="B12" s="56" t="s">
        <v>159</v>
      </c>
      <c r="C12" s="35">
        <v>10.45</v>
      </c>
      <c r="D12" s="31">
        <f>TRUNC(0.00376*((60*TRUNC(C12))+(100*(C12-TRUNC(C12)))-1060)^2)</f>
        <v>647</v>
      </c>
      <c r="E12" s="44" t="s">
        <v>95</v>
      </c>
      <c r="F12" s="36">
        <v>10.45</v>
      </c>
      <c r="G12" s="33">
        <f>TRUNC(0.00376*((60*TRUNC(F12))+(100*(F12-TRUNC(F12)))-1060)^2)</f>
        <v>647</v>
      </c>
      <c r="H12" s="33">
        <f t="shared" si="0"/>
        <v>1294</v>
      </c>
      <c r="I12" s="33">
        <f t="shared" si="1"/>
        <v>12481</v>
      </c>
      <c r="J12" s="34"/>
      <c r="K12" s="13" t="s">
        <v>37</v>
      </c>
      <c r="L12" s="44" t="s">
        <v>62</v>
      </c>
      <c r="M12" s="35">
        <v>17</v>
      </c>
      <c r="N12" s="31">
        <f>TRUNC(0.0006648*((60*TRUNC(M12))+(100*(M12-TRUNC(M12)))-2073)^2)</f>
        <v>737</v>
      </c>
      <c r="O12" s="44" t="s">
        <v>157</v>
      </c>
      <c r="P12" s="36">
        <v>25</v>
      </c>
      <c r="Q12" s="33">
        <f>TRUNC(0.0006648*((60*TRUNC(P12))+(100*(P12-TRUNC(P12)))-2073)^2)</f>
        <v>218</v>
      </c>
      <c r="R12" s="37">
        <f t="shared" si="2"/>
        <v>955</v>
      </c>
      <c r="S12" s="33">
        <f t="shared" si="3"/>
        <v>13083</v>
      </c>
    </row>
    <row r="13" spans="1:19" s="2" customFormat="1" ht="42.75" customHeight="1" x14ac:dyDescent="0.2">
      <c r="A13" s="13" t="s">
        <v>38</v>
      </c>
      <c r="B13" s="46" t="s">
        <v>39</v>
      </c>
      <c r="C13" s="35">
        <v>27.0502</v>
      </c>
      <c r="D13" s="31">
        <f>TRUNC(0.000212*(100*(C13-TRUNC(C13))+TRUNC(C13)*60-3470)^2)-1</f>
        <v>720</v>
      </c>
      <c r="E13" s="44" t="s">
        <v>79</v>
      </c>
      <c r="F13" s="36">
        <v>28.3</v>
      </c>
      <c r="G13" s="33">
        <f>TRUNC(0.000212*(100*(F13-TRUNC(F13))+TRUNC(F13)*60-3470)^2)-1</f>
        <v>655</v>
      </c>
      <c r="H13" s="33">
        <f t="shared" si="0"/>
        <v>1375</v>
      </c>
      <c r="I13" s="33">
        <f t="shared" si="1"/>
        <v>13856</v>
      </c>
      <c r="J13" s="34"/>
      <c r="K13" s="13" t="s">
        <v>40</v>
      </c>
      <c r="L13" s="44" t="s">
        <v>99</v>
      </c>
      <c r="M13" s="36">
        <v>1.3</v>
      </c>
      <c r="N13" s="39">
        <f>TRUNC(49.489/2*((M13+9.2)^2+(M13+9.2+0.01)^2)-5000)</f>
        <v>461</v>
      </c>
      <c r="O13" s="44" t="s">
        <v>68</v>
      </c>
      <c r="P13" s="36">
        <v>1.3</v>
      </c>
      <c r="Q13" s="37">
        <f>TRUNC(49.489/2*((P13+9.2)^2+(P13+9.2+0.01)^2)-5000)</f>
        <v>461</v>
      </c>
      <c r="R13" s="37">
        <f t="shared" si="2"/>
        <v>922</v>
      </c>
      <c r="S13" s="33">
        <f t="shared" si="3"/>
        <v>14005</v>
      </c>
    </row>
    <row r="14" spans="1:19" s="2" customFormat="1" ht="42.75" customHeight="1" x14ac:dyDescent="0.2">
      <c r="A14" s="13" t="s">
        <v>40</v>
      </c>
      <c r="B14" s="44" t="s">
        <v>33</v>
      </c>
      <c r="C14" s="35">
        <v>1.8</v>
      </c>
      <c r="D14" s="39">
        <f>TRUNC(39.4106/2*((C14+10.2)^2+(C14+10.2+0.01)^2)-5000)</f>
        <v>679</v>
      </c>
      <c r="E14" s="46" t="s">
        <v>18</v>
      </c>
      <c r="F14" s="36">
        <v>1.7</v>
      </c>
      <c r="G14" s="40">
        <f>TRUNC(39.4106/2*((F14+10.2)^2+(F14+10.2+0.01)^2)-5000)</f>
        <v>585</v>
      </c>
      <c r="H14" s="33">
        <f t="shared" si="0"/>
        <v>1264</v>
      </c>
      <c r="I14" s="33">
        <f t="shared" si="1"/>
        <v>15120</v>
      </c>
      <c r="J14" s="34"/>
      <c r="K14" s="13" t="s">
        <v>42</v>
      </c>
      <c r="L14" s="47" t="s">
        <v>47</v>
      </c>
      <c r="M14" s="35">
        <v>5.2</v>
      </c>
      <c r="N14" s="39">
        <f>TRUNC(2.29455/2*((M14+45)^2+(M14+45+0.01)^2)-5000)</f>
        <v>783</v>
      </c>
      <c r="O14" s="47" t="s">
        <v>13</v>
      </c>
      <c r="P14" s="35">
        <v>4.8</v>
      </c>
      <c r="Q14" s="40">
        <f>TRUNC(2.29455/2*((P14+45)^2+(P14+45+0.01)^2)-5000)</f>
        <v>691</v>
      </c>
      <c r="R14" s="37">
        <f t="shared" si="2"/>
        <v>1474</v>
      </c>
      <c r="S14" s="33">
        <f t="shared" si="3"/>
        <v>15479</v>
      </c>
    </row>
    <row r="15" spans="1:19" s="2" customFormat="1" ht="42.75" customHeight="1" x14ac:dyDescent="0.2">
      <c r="A15" s="13" t="s">
        <v>42</v>
      </c>
      <c r="B15" s="49" t="s">
        <v>50</v>
      </c>
      <c r="C15" s="36">
        <v>6.3</v>
      </c>
      <c r="D15" s="31">
        <f>TRUNC(1.82116/2*((C15+50)^2+(C15+50+0.01)^2)-5000)</f>
        <v>773</v>
      </c>
      <c r="E15" s="46" t="s">
        <v>91</v>
      </c>
      <c r="F15" s="36">
        <v>5.8</v>
      </c>
      <c r="G15" s="33">
        <f>TRUNC(1.82116/2*((F15+50)^2+(F15+50+0.01)^2)-5000)</f>
        <v>671</v>
      </c>
      <c r="H15" s="33">
        <f t="shared" si="0"/>
        <v>1444</v>
      </c>
      <c r="I15" s="33">
        <f t="shared" si="1"/>
        <v>16564</v>
      </c>
      <c r="J15" s="34"/>
      <c r="K15" s="13" t="s">
        <v>43</v>
      </c>
      <c r="L15" s="51" t="s">
        <v>186</v>
      </c>
      <c r="M15" s="41">
        <v>8</v>
      </c>
      <c r="N15" s="31">
        <f>TRUNC(0.5438/2*((M15+92)^2+(M15+92+0.01)^2)-5000)</f>
        <v>438</v>
      </c>
      <c r="O15" s="51"/>
      <c r="P15" s="42">
        <v>8</v>
      </c>
      <c r="Q15" s="33">
        <f>TRUNC(0.5438/2*((P15+92)^2+(P15+92+0.01)^2)-5000)</f>
        <v>438</v>
      </c>
      <c r="R15" s="37">
        <f t="shared" si="2"/>
        <v>876</v>
      </c>
      <c r="S15" s="33">
        <f t="shared" si="3"/>
        <v>16355</v>
      </c>
    </row>
    <row r="16" spans="1:19" s="2" customFormat="1" ht="42.75" customHeight="1" x14ac:dyDescent="0.2">
      <c r="A16" s="13" t="s">
        <v>43</v>
      </c>
      <c r="B16" s="46" t="s">
        <v>12</v>
      </c>
      <c r="C16" s="35">
        <v>12.6</v>
      </c>
      <c r="D16" s="31">
        <f>TRUNC(0.47301/2*((C16+97)^2+(C16+97+0.01)^2)-5000)</f>
        <v>682</v>
      </c>
      <c r="E16" s="46" t="s">
        <v>64</v>
      </c>
      <c r="F16" s="42">
        <v>12.5</v>
      </c>
      <c r="G16" s="33">
        <f>TRUNC(0.47301/2*((F16+97)^2+(F16+97+0.01)^2)-5000)</f>
        <v>672</v>
      </c>
      <c r="H16" s="33">
        <f t="shared" si="0"/>
        <v>1354</v>
      </c>
      <c r="I16" s="33">
        <f t="shared" si="1"/>
        <v>17918</v>
      </c>
      <c r="J16" s="34"/>
      <c r="K16" s="13" t="s">
        <v>44</v>
      </c>
      <c r="L16" s="46" t="s">
        <v>35</v>
      </c>
      <c r="M16" s="35">
        <v>2.2000000000000002</v>
      </c>
      <c r="N16" s="31">
        <f>TRUNC(5.3339/2*((M16+29.5)^2+(M16+29.5+0.01)^2)-5000)</f>
        <v>361</v>
      </c>
      <c r="O16" s="50" t="s">
        <v>81</v>
      </c>
      <c r="P16" s="36">
        <v>1.8</v>
      </c>
      <c r="Q16" s="33">
        <f>TRUNC(5.3339/2*((P16+29.5)^2+(P16+29.5+0.01)^2)-5000)</f>
        <v>227</v>
      </c>
      <c r="R16" s="37">
        <f t="shared" si="2"/>
        <v>588</v>
      </c>
      <c r="S16" s="33">
        <f t="shared" si="3"/>
        <v>16943</v>
      </c>
    </row>
    <row r="17" spans="1:19" s="2" customFormat="1" ht="42.75" customHeight="1" x14ac:dyDescent="0.2">
      <c r="A17" s="13" t="s">
        <v>44</v>
      </c>
      <c r="B17" s="46" t="s">
        <v>65</v>
      </c>
      <c r="C17" s="35">
        <v>4.3</v>
      </c>
      <c r="D17" s="31">
        <f>TRUNC(3.3771/2*((C17+37)^2+(C17+37+0.01)^2)-5000)</f>
        <v>761</v>
      </c>
      <c r="E17" s="46" t="s">
        <v>116</v>
      </c>
      <c r="F17" s="35">
        <v>3.8</v>
      </c>
      <c r="G17" s="33">
        <f>TRUNC(3.3771/2*((F17+37)^2+(F17+37+0.01)^2)-5000)</f>
        <v>623</v>
      </c>
      <c r="H17" s="33">
        <f t="shared" si="0"/>
        <v>1384</v>
      </c>
      <c r="I17" s="33">
        <f t="shared" si="1"/>
        <v>19302</v>
      </c>
      <c r="J17" s="34"/>
      <c r="K17" s="13" t="s">
        <v>46</v>
      </c>
      <c r="L17" s="47" t="s">
        <v>60</v>
      </c>
      <c r="M17" s="35">
        <v>11</v>
      </c>
      <c r="N17" s="31">
        <f>TRUNC(0.04631/2*((M17+656)^2+(M17+656+0.01)^2)-20000)</f>
        <v>603</v>
      </c>
      <c r="O17" s="47" t="s">
        <v>123</v>
      </c>
      <c r="P17" s="36">
        <v>8</v>
      </c>
      <c r="Q17" s="33">
        <f>TRUNC(0.04631/2*((P17+656)^2+(P17+656+0.01)^2)-20000)</f>
        <v>418</v>
      </c>
      <c r="R17" s="37">
        <f t="shared" si="2"/>
        <v>1021</v>
      </c>
      <c r="S17" s="33">
        <f t="shared" si="3"/>
        <v>17964</v>
      </c>
    </row>
    <row r="18" spans="1:19" s="2" customFormat="1" ht="42.75" customHeight="1" x14ac:dyDescent="0.2">
      <c r="A18" s="13" t="s">
        <v>46</v>
      </c>
      <c r="B18" s="49" t="s">
        <v>117</v>
      </c>
      <c r="C18" s="35">
        <v>10</v>
      </c>
      <c r="D18" s="31">
        <f>TRUNC(0.04298/2*((C18+681)^2+(C18+681+0.01)^2)-20000)</f>
        <v>522</v>
      </c>
      <c r="E18" s="49" t="s">
        <v>51</v>
      </c>
      <c r="F18" s="35">
        <v>10</v>
      </c>
      <c r="G18" s="33">
        <f>TRUNC(0.04298/2*((F18+681)^2+(F18+681+0.01)^2)-20000)</f>
        <v>522</v>
      </c>
      <c r="H18" s="33">
        <f t="shared" si="0"/>
        <v>1044</v>
      </c>
      <c r="I18" s="33">
        <f t="shared" si="1"/>
        <v>20346</v>
      </c>
      <c r="J18" s="34"/>
      <c r="K18" s="13" t="s">
        <v>49</v>
      </c>
      <c r="L18" s="44" t="s">
        <v>101</v>
      </c>
      <c r="M18" s="35">
        <v>26</v>
      </c>
      <c r="N18" s="31">
        <f>TRUNC(0.004156/2*((M18+2190)^2+(M18+2190+0.01)^2)-20000)</f>
        <v>408</v>
      </c>
      <c r="O18" s="48" t="s">
        <v>149</v>
      </c>
      <c r="P18" s="36">
        <v>25</v>
      </c>
      <c r="Q18" s="33">
        <f>TRUNC(0.004156/2*((P18+2190)^2+(P18+2190+0.01)^2)-20000)</f>
        <v>390</v>
      </c>
      <c r="R18" s="37">
        <f t="shared" si="2"/>
        <v>798</v>
      </c>
      <c r="S18" s="33">
        <f t="shared" si="3"/>
        <v>18762</v>
      </c>
    </row>
    <row r="19" spans="1:19" s="2" customFormat="1" ht="42.75" customHeight="1" x14ac:dyDescent="0.2">
      <c r="A19" s="13" t="s">
        <v>49</v>
      </c>
      <c r="B19" s="49" t="s">
        <v>50</v>
      </c>
      <c r="C19" s="35">
        <v>39</v>
      </c>
      <c r="D19" s="31">
        <f>TRUNC(0.004233/2*((C19+2170)^2+(C19+2170+0.01)^2)-20000)</f>
        <v>655</v>
      </c>
      <c r="E19" s="46" t="s">
        <v>118</v>
      </c>
      <c r="F19" s="36">
        <v>27</v>
      </c>
      <c r="G19" s="33">
        <f>TRUNC(0.004233/2*((F19+2170)^2+(F19+2170+0.01)^2)-20000)</f>
        <v>431</v>
      </c>
      <c r="H19" s="33">
        <f t="shared" si="0"/>
        <v>1086</v>
      </c>
      <c r="I19" s="33">
        <f t="shared" si="1"/>
        <v>21432</v>
      </c>
      <c r="J19" s="34"/>
      <c r="K19" s="13" t="s">
        <v>52</v>
      </c>
      <c r="L19" s="49" t="s">
        <v>14</v>
      </c>
      <c r="M19" s="35">
        <v>48</v>
      </c>
      <c r="N19" s="39">
        <f>TRUNC(0.004195/2*((M19+2180)^2+(M19+2180+0.01)^2)-20000)</f>
        <v>824</v>
      </c>
      <c r="O19" s="44" t="s">
        <v>112</v>
      </c>
      <c r="P19" s="36">
        <v>25</v>
      </c>
      <c r="Q19" s="40">
        <f>TRUNC(0.004195/2*((P19+2180)^2+(P19+2180+0.01)^2)-20000)</f>
        <v>396</v>
      </c>
      <c r="R19" s="37">
        <f t="shared" si="2"/>
        <v>1220</v>
      </c>
      <c r="S19" s="33">
        <f t="shared" si="3"/>
        <v>19982</v>
      </c>
    </row>
    <row r="20" spans="1:19" s="2" customFormat="1" ht="42.75" customHeight="1" x14ac:dyDescent="0.2">
      <c r="A20" s="13" t="s">
        <v>52</v>
      </c>
      <c r="B20" s="49" t="s">
        <v>78</v>
      </c>
      <c r="C20" s="35">
        <v>58</v>
      </c>
      <c r="D20" s="31">
        <f>TRUNC(0.002454/2*((C20+2850)^2+(C20+2850+0.01)^2)-20000)</f>
        <v>752</v>
      </c>
      <c r="E20" s="49" t="s">
        <v>121</v>
      </c>
      <c r="F20" s="35">
        <v>53</v>
      </c>
      <c r="G20" s="33">
        <f>TRUNC(0.002454/2*((F20+2850)^2+(F20+2850+0.01)^2)-20000)</f>
        <v>680</v>
      </c>
      <c r="H20" s="33">
        <f t="shared" si="0"/>
        <v>1432</v>
      </c>
      <c r="I20" s="33">
        <f t="shared" si="1"/>
        <v>22864</v>
      </c>
      <c r="J20" s="34"/>
      <c r="K20" s="13" t="s">
        <v>53</v>
      </c>
      <c r="L20" s="46" t="s">
        <v>54</v>
      </c>
      <c r="M20" s="35">
        <v>30</v>
      </c>
      <c r="N20" s="39">
        <f>TRUNC(0.00364/2*((M20+2340)^2+(M20+2340+0.01)^2)-20000)</f>
        <v>445</v>
      </c>
      <c r="O20" s="44" t="s">
        <v>103</v>
      </c>
      <c r="P20" s="36">
        <v>22</v>
      </c>
      <c r="Q20" s="40">
        <f>TRUNC(0.00364/2*((P20+2340)^2+(P20+2340+0.01)^2)-20000)</f>
        <v>307</v>
      </c>
      <c r="R20" s="37">
        <f t="shared" si="2"/>
        <v>752</v>
      </c>
      <c r="S20" s="33">
        <f t="shared" si="3"/>
        <v>20734</v>
      </c>
    </row>
    <row r="21" spans="1:19" s="2" customFormat="1" ht="42.75" customHeight="1" x14ac:dyDescent="0.2">
      <c r="A21" s="13" t="s">
        <v>53</v>
      </c>
      <c r="B21" s="46" t="s">
        <v>55</v>
      </c>
      <c r="C21" s="36">
        <v>35</v>
      </c>
      <c r="D21" s="31">
        <f>TRUNC(0.0029488/2*((C21+2600)^2+(C21+2600+0.01)^2)-20000)</f>
        <v>474</v>
      </c>
      <c r="E21" s="49" t="s">
        <v>48</v>
      </c>
      <c r="F21" s="36">
        <v>38</v>
      </c>
      <c r="G21" s="33">
        <f>TRUNC(0.0029488/2*((F21+2600)^2+(F21+2600+0.01)^2)-20000)</f>
        <v>520</v>
      </c>
      <c r="H21" s="33">
        <f t="shared" si="0"/>
        <v>994</v>
      </c>
      <c r="I21" s="33">
        <f t="shared" si="1"/>
        <v>23858</v>
      </c>
      <c r="J21" s="34"/>
      <c r="K21" s="13" t="s">
        <v>56</v>
      </c>
      <c r="L21" s="43" t="s">
        <v>175</v>
      </c>
      <c r="M21" s="35">
        <v>51</v>
      </c>
      <c r="N21" s="31">
        <f>TRUNC(0.3954/2*((M21-98)^2+(M21-98+0)^2)-0)</f>
        <v>873</v>
      </c>
      <c r="O21" s="43" t="s">
        <v>176</v>
      </c>
      <c r="P21" s="36">
        <v>4.1026999999999996</v>
      </c>
      <c r="Q21" s="33">
        <f>TRUNC(0.01562*(100*(P21-TRUNC(P21))+TRUNC(P21)*60-480)^2)</f>
        <v>824</v>
      </c>
      <c r="R21" s="37">
        <f t="shared" si="2"/>
        <v>1697</v>
      </c>
      <c r="S21" s="33">
        <f t="shared" si="3"/>
        <v>22431</v>
      </c>
    </row>
    <row r="22" spans="1:19" s="2" customFormat="1" ht="42.75" customHeight="1" x14ac:dyDescent="0.2">
      <c r="A22" s="13" t="s">
        <v>56</v>
      </c>
      <c r="B22" s="43" t="s">
        <v>173</v>
      </c>
      <c r="C22" s="41">
        <v>44.56</v>
      </c>
      <c r="D22" s="31">
        <f>TRUNC(1.2019/2*((C22-70)^2+(C22-70+0)^2)-0)</f>
        <v>777</v>
      </c>
      <c r="E22" s="44" t="s">
        <v>174</v>
      </c>
      <c r="F22" s="36">
        <v>3.3220999999999998</v>
      </c>
      <c r="G22" s="33">
        <f>TRUNC(0.05404*(100*(F22-TRUNC(F22))+TRUNC(F22)*60-328)^2)</f>
        <v>724</v>
      </c>
      <c r="H22" s="33">
        <f t="shared" si="0"/>
        <v>1501</v>
      </c>
      <c r="I22" s="33">
        <f t="shared" si="1"/>
        <v>25359</v>
      </c>
      <c r="J22" s="45"/>
      <c r="K22" s="5"/>
      <c r="L22" s="5"/>
      <c r="M22" s="5"/>
      <c r="N22" s="5"/>
      <c r="O22" s="6"/>
      <c r="P22" s="5"/>
      <c r="Q22" s="5"/>
      <c r="R22" s="6" t="s">
        <v>59</v>
      </c>
      <c r="S22" s="33">
        <f>+I22+S21</f>
        <v>47790</v>
      </c>
    </row>
    <row r="23" spans="1:19" ht="17.25" customHeight="1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7.25" customHeight="1" x14ac:dyDescent="0.2">
      <c r="A24" s="8"/>
      <c r="B24" s="23" t="s">
        <v>98</v>
      </c>
      <c r="C24" s="24"/>
      <c r="D24" s="25"/>
      <c r="E24" s="20" t="s">
        <v>107</v>
      </c>
      <c r="F24" s="21"/>
      <c r="G24" s="22"/>
      <c r="H24" s="4"/>
      <c r="I24" s="4"/>
      <c r="J24" s="4"/>
      <c r="L24" s="16" t="s">
        <v>81</v>
      </c>
      <c r="M24" s="20" t="s">
        <v>82</v>
      </c>
      <c r="N24" s="21"/>
      <c r="O24" s="22"/>
      <c r="P24" s="7"/>
      <c r="Q24" s="7"/>
      <c r="R24" s="7"/>
      <c r="S24" s="7"/>
    </row>
    <row r="25" spans="1:19" ht="17.25" customHeight="1" x14ac:dyDescent="0.2">
      <c r="A25" s="8"/>
      <c r="B25" s="23" t="s">
        <v>94</v>
      </c>
      <c r="C25" s="24"/>
      <c r="D25" s="25"/>
      <c r="E25" s="14">
        <v>3000</v>
      </c>
      <c r="F25" s="21"/>
      <c r="G25" s="22"/>
      <c r="H25" s="4"/>
      <c r="I25" s="4"/>
      <c r="J25" s="4"/>
      <c r="L25" s="15" t="s">
        <v>61</v>
      </c>
      <c r="M25" s="17" t="s">
        <v>87</v>
      </c>
      <c r="N25" s="18"/>
      <c r="O25" s="19"/>
      <c r="P25" s="7"/>
      <c r="Q25" s="7"/>
      <c r="R25" s="7"/>
      <c r="S25" s="7"/>
    </row>
    <row r="26" spans="1:19" ht="17.25" customHeight="1" x14ac:dyDescent="0.2">
      <c r="A26" s="8"/>
      <c r="B26" s="26" t="s">
        <v>66</v>
      </c>
      <c r="C26" s="27"/>
      <c r="D26" s="28"/>
      <c r="E26" s="17" t="s">
        <v>83</v>
      </c>
      <c r="F26" s="18"/>
      <c r="G26" s="19"/>
      <c r="H26" s="4"/>
      <c r="I26" s="4"/>
      <c r="J26" s="4"/>
      <c r="L26" s="15" t="s">
        <v>105</v>
      </c>
      <c r="M26" s="17" t="s">
        <v>106</v>
      </c>
      <c r="N26" s="18"/>
      <c r="O26" s="19"/>
      <c r="P26" s="7"/>
      <c r="Q26" s="7"/>
      <c r="R26" s="7"/>
      <c r="S26" s="7"/>
    </row>
    <row r="27" spans="1:19" ht="17.25" customHeight="1" x14ac:dyDescent="0.2">
      <c r="A27" s="8"/>
      <c r="B27" s="23" t="s">
        <v>96</v>
      </c>
      <c r="C27" s="24"/>
      <c r="D27" s="25"/>
      <c r="E27" s="20" t="s">
        <v>97</v>
      </c>
      <c r="F27" s="21"/>
      <c r="G27" s="22"/>
      <c r="H27" s="4"/>
      <c r="I27" s="4"/>
      <c r="J27" s="4"/>
      <c r="L27" s="16" t="s">
        <v>111</v>
      </c>
      <c r="M27" s="20" t="s">
        <v>102</v>
      </c>
      <c r="N27" s="21"/>
      <c r="O27" s="22"/>
      <c r="P27" s="7"/>
      <c r="Q27" s="7"/>
      <c r="R27" s="7"/>
      <c r="S27" s="7"/>
    </row>
    <row r="28" spans="1:19" ht="17.25" customHeight="1" x14ac:dyDescent="0.2">
      <c r="A28" s="8"/>
      <c r="B28" s="23" t="s">
        <v>77</v>
      </c>
      <c r="C28" s="24"/>
      <c r="D28" s="25"/>
      <c r="E28" s="20" t="s">
        <v>72</v>
      </c>
      <c r="F28" s="21"/>
      <c r="G28" s="22"/>
      <c r="H28" s="4"/>
      <c r="I28" s="4"/>
      <c r="J28" s="4"/>
      <c r="L28" s="15" t="s">
        <v>70</v>
      </c>
      <c r="M28" s="17" t="s">
        <v>161</v>
      </c>
      <c r="N28" s="18"/>
      <c r="O28" s="19"/>
      <c r="P28" s="7"/>
      <c r="Q28" s="7"/>
      <c r="R28" s="7"/>
      <c r="S28" s="7"/>
    </row>
    <row r="29" spans="1:19" ht="17.25" customHeight="1" x14ac:dyDescent="0.2">
      <c r="A29" s="8"/>
      <c r="B29" s="26" t="s">
        <v>86</v>
      </c>
      <c r="C29" s="27"/>
      <c r="D29" s="28"/>
      <c r="E29" s="17" t="s">
        <v>108</v>
      </c>
      <c r="F29" s="18"/>
      <c r="G29" s="19"/>
      <c r="H29" s="4"/>
      <c r="I29" s="4"/>
      <c r="J29" s="4"/>
      <c r="L29" s="15" t="s">
        <v>23</v>
      </c>
      <c r="M29" s="17" t="s">
        <v>87</v>
      </c>
      <c r="N29" s="18"/>
      <c r="O29" s="19"/>
      <c r="P29" s="7"/>
      <c r="Q29" s="7"/>
      <c r="R29" s="7"/>
      <c r="S29" s="7"/>
    </row>
    <row r="30" spans="1:19" ht="17.25" customHeight="1" x14ac:dyDescent="0.2">
      <c r="B30" s="26" t="s">
        <v>45</v>
      </c>
      <c r="C30" s="27"/>
      <c r="D30" s="28"/>
      <c r="E30" s="17" t="s">
        <v>85</v>
      </c>
      <c r="F30" s="18"/>
      <c r="G30" s="19"/>
      <c r="L30" s="15" t="s">
        <v>41</v>
      </c>
      <c r="M30" s="17" t="s">
        <v>104</v>
      </c>
      <c r="N30" s="18"/>
      <c r="O30" s="19"/>
      <c r="P30" s="7"/>
      <c r="Q30" s="7"/>
      <c r="R30" s="7"/>
    </row>
    <row r="31" spans="1:19" ht="17.25" customHeight="1" x14ac:dyDescent="0.2">
      <c r="B31" s="23" t="s">
        <v>91</v>
      </c>
      <c r="C31" s="24"/>
      <c r="D31" s="25"/>
      <c r="E31" s="20" t="s">
        <v>92</v>
      </c>
      <c r="F31" s="21"/>
      <c r="G31" s="22"/>
      <c r="L31" s="15" t="s">
        <v>69</v>
      </c>
      <c r="M31" s="17" t="s">
        <v>88</v>
      </c>
      <c r="N31" s="18"/>
      <c r="O31" s="19"/>
    </row>
    <row r="32" spans="1:19" ht="15.75" customHeight="1" x14ac:dyDescent="0.2">
      <c r="B32" s="26" t="s">
        <v>29</v>
      </c>
      <c r="C32" s="27"/>
      <c r="D32" s="28"/>
      <c r="E32" s="17" t="s">
        <v>83</v>
      </c>
      <c r="F32" s="18"/>
      <c r="G32" s="19"/>
      <c r="L32" s="15" t="s">
        <v>109</v>
      </c>
      <c r="M32" s="17" t="s">
        <v>110</v>
      </c>
      <c r="N32" s="18"/>
      <c r="O32" s="19"/>
    </row>
    <row r="33" spans="2:15" ht="15.75" customHeight="1" x14ac:dyDescent="0.2">
      <c r="B33" s="23" t="s">
        <v>76</v>
      </c>
      <c r="C33" s="24"/>
      <c r="D33" s="25"/>
      <c r="E33" s="20" t="s">
        <v>72</v>
      </c>
      <c r="F33" s="21"/>
      <c r="G33" s="22"/>
      <c r="L33" s="15" t="s">
        <v>80</v>
      </c>
      <c r="M33" s="17" t="s">
        <v>89</v>
      </c>
      <c r="N33" s="18"/>
      <c r="O33" s="19"/>
    </row>
    <row r="34" spans="2:15" ht="15.75" x14ac:dyDescent="0.2">
      <c r="B34" s="26" t="s">
        <v>84</v>
      </c>
      <c r="C34" s="27"/>
      <c r="D34" s="28"/>
      <c r="E34" s="17" t="s">
        <v>83</v>
      </c>
      <c r="F34" s="18"/>
      <c r="G34" s="19"/>
      <c r="L34" s="15" t="s">
        <v>100</v>
      </c>
      <c r="M34" s="17" t="s">
        <v>104</v>
      </c>
      <c r="N34" s="21"/>
      <c r="O34" s="22"/>
    </row>
    <row r="35" spans="2:15" ht="15.75" customHeight="1" x14ac:dyDescent="0.2">
      <c r="B35" s="23" t="s">
        <v>113</v>
      </c>
      <c r="C35" s="24"/>
      <c r="D35" s="25"/>
      <c r="E35" s="20" t="s">
        <v>114</v>
      </c>
      <c r="F35" s="21"/>
      <c r="G35" s="22"/>
      <c r="L35" s="29" t="s">
        <v>26</v>
      </c>
      <c r="M35" s="17" t="s">
        <v>115</v>
      </c>
      <c r="N35" s="21"/>
      <c r="O35" s="22"/>
    </row>
    <row r="36" spans="2:15" ht="15.75" customHeight="1" x14ac:dyDescent="0.2">
      <c r="B36" s="23" t="s">
        <v>63</v>
      </c>
      <c r="C36" s="24"/>
      <c r="D36" s="25"/>
      <c r="E36" s="17" t="s">
        <v>83</v>
      </c>
      <c r="F36" s="21"/>
      <c r="G36" s="22"/>
      <c r="L36" s="16" t="s">
        <v>122</v>
      </c>
      <c r="M36" s="17" t="s">
        <v>87</v>
      </c>
      <c r="N36" s="21"/>
      <c r="O36" s="22"/>
    </row>
    <row r="37" spans="2:15" ht="15.75" x14ac:dyDescent="0.2">
      <c r="B37" s="23"/>
      <c r="C37" s="24"/>
      <c r="D37" s="25"/>
      <c r="E37" s="20"/>
      <c r="F37" s="21"/>
      <c r="G37" s="22"/>
      <c r="L37" s="15" t="s">
        <v>163</v>
      </c>
      <c r="M37" s="17" t="s">
        <v>164</v>
      </c>
      <c r="N37" s="21"/>
      <c r="O37" s="22"/>
    </row>
  </sheetData>
  <sortState ref="B24:G37">
    <sortCondition ref="B24:B37"/>
  </sortState>
  <mergeCells count="3">
    <mergeCell ref="A1:S1"/>
    <mergeCell ref="A2:I2"/>
    <mergeCell ref="K2:S2"/>
  </mergeCells>
  <printOptions horizontalCentered="1" verticalCentered="1" gridLinesSet="0"/>
  <pageMargins left="0" right="0" top="0" bottom="0.19685039370078741" header="0" footer="0"/>
  <pageSetup paperSize="9" scale="56" orientation="landscape" horizontalDpi="300" verticalDpi="300" r:id="rId1"/>
  <headerFooter alignWithMargins="0">
    <oddFooter>&amp;C&amp;F    &amp;A 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zoomScale="60" zoomScaleNormal="60" workbookViewId="0">
      <selection activeCell="Z8" sqref="Z8"/>
    </sheetView>
  </sheetViews>
  <sheetFormatPr baseColWidth="10" defaultRowHeight="12.75" x14ac:dyDescent="0.2"/>
  <cols>
    <col min="1" max="1" width="15.42578125" style="3" customWidth="1"/>
    <col min="2" max="2" width="30.42578125" style="1" customWidth="1"/>
    <col min="3" max="3" width="10.7109375" style="1" customWidth="1"/>
    <col min="4" max="4" width="7.5703125" style="1" customWidth="1"/>
    <col min="5" max="5" width="33.7109375" style="1" customWidth="1"/>
    <col min="6" max="6" width="10.7109375" style="1" customWidth="1"/>
    <col min="7" max="7" width="7.5703125" style="1" customWidth="1"/>
    <col min="8" max="9" width="10.7109375" style="1" customWidth="1"/>
    <col min="10" max="10" width="2.85546875" style="1" customWidth="1"/>
    <col min="11" max="11" width="15.5703125" style="1" customWidth="1"/>
    <col min="12" max="12" width="32.28515625" style="1" customWidth="1"/>
    <col min="13" max="13" width="11.7109375" style="1" customWidth="1"/>
    <col min="14" max="14" width="8.7109375" style="1" customWidth="1"/>
    <col min="15" max="15" width="32.85546875" style="1" customWidth="1"/>
    <col min="16" max="16" width="9.7109375" style="1" customWidth="1"/>
    <col min="17" max="17" width="7.7109375" style="1" customWidth="1"/>
    <col min="18" max="18" width="9.7109375" style="1" customWidth="1"/>
    <col min="19" max="19" width="12.28515625" style="1" customWidth="1"/>
    <col min="20" max="20" width="4.7109375" style="1" customWidth="1"/>
    <col min="21" max="16384" width="11.42578125" style="1"/>
  </cols>
  <sheetData>
    <row r="1" spans="1:19" ht="51" customHeight="1" x14ac:dyDescent="0.2">
      <c r="A1" s="57" t="s">
        <v>120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39" customHeight="1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12"/>
      <c r="K2" s="60" t="s">
        <v>1</v>
      </c>
      <c r="L2" s="60"/>
      <c r="M2" s="60"/>
      <c r="N2" s="60"/>
      <c r="O2" s="60"/>
      <c r="P2" s="60"/>
      <c r="Q2" s="60"/>
      <c r="R2" s="60"/>
      <c r="S2" s="60"/>
    </row>
    <row r="3" spans="1:19" ht="39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4</v>
      </c>
      <c r="G3" s="9" t="s">
        <v>5</v>
      </c>
      <c r="H3" s="9" t="s">
        <v>7</v>
      </c>
      <c r="I3" s="10"/>
      <c r="J3" s="11"/>
      <c r="K3" s="9" t="s">
        <v>8</v>
      </c>
      <c r="L3" s="9" t="s">
        <v>3</v>
      </c>
      <c r="M3" s="9" t="s">
        <v>9</v>
      </c>
      <c r="N3" s="9" t="s">
        <v>5</v>
      </c>
      <c r="O3" s="9" t="s">
        <v>3</v>
      </c>
      <c r="P3" s="9" t="s">
        <v>10</v>
      </c>
      <c r="Q3" s="9" t="s">
        <v>5</v>
      </c>
      <c r="R3" s="9" t="s">
        <v>7</v>
      </c>
      <c r="S3" s="10"/>
    </row>
    <row r="4" spans="1:19" s="2" customFormat="1" ht="39" customHeight="1" x14ac:dyDescent="0.2">
      <c r="A4" s="13" t="s">
        <v>11</v>
      </c>
      <c r="B4" s="44" t="s">
        <v>124</v>
      </c>
      <c r="C4" s="30">
        <v>12.5</v>
      </c>
      <c r="D4" s="31">
        <f>TRUNC(21.77/2*((C4-17.5)^2+(C4-17.5+0)^2)-0)</f>
        <v>544</v>
      </c>
      <c r="E4" s="46" t="s">
        <v>125</v>
      </c>
      <c r="F4" s="32">
        <v>12.5</v>
      </c>
      <c r="G4" s="33">
        <f>TRUNC(21.77/2*((F4-17.5)^2+(F4-17.5+0)^2)-0)</f>
        <v>544</v>
      </c>
      <c r="H4" s="33">
        <f t="shared" ref="H4:H22" si="0">+G4+D4</f>
        <v>1088</v>
      </c>
      <c r="I4" s="33">
        <f t="shared" ref="I4:I22" si="1">+I3+H4</f>
        <v>1088</v>
      </c>
      <c r="J4" s="34"/>
      <c r="K4" s="13" t="s">
        <v>11</v>
      </c>
      <c r="L4" s="44" t="s">
        <v>138</v>
      </c>
      <c r="M4" s="35">
        <v>14.5</v>
      </c>
      <c r="N4" s="31">
        <f>TRUNC(6.5713/2*((M4-24.5)^2+(M4-24.5+0)^2)-0)</f>
        <v>657</v>
      </c>
      <c r="O4" s="47" t="s">
        <v>153</v>
      </c>
      <c r="P4" s="36">
        <v>14.5</v>
      </c>
      <c r="Q4" s="33">
        <f>TRUNC(6.5713/2*((P4-24.5)^2+(P4-24.5+0)^2)-0)</f>
        <v>657</v>
      </c>
      <c r="R4" s="37">
        <f t="shared" ref="R4:R21" si="2">+Q4+N4</f>
        <v>1314</v>
      </c>
      <c r="S4" s="33">
        <f t="shared" ref="S4:S21" si="3">+S3+R4</f>
        <v>1314</v>
      </c>
    </row>
    <row r="5" spans="1:19" s="2" customFormat="1" ht="39" customHeight="1" x14ac:dyDescent="0.2">
      <c r="A5" s="13" t="s">
        <v>15</v>
      </c>
      <c r="B5" s="46" t="s">
        <v>126</v>
      </c>
      <c r="C5" s="30">
        <v>26</v>
      </c>
      <c r="D5" s="31">
        <f>TRUNC(4.799/2*((C5-36)^2+(C5-36+0)^2)-0)</f>
        <v>479</v>
      </c>
      <c r="E5" s="44" t="s">
        <v>127</v>
      </c>
      <c r="F5" s="32">
        <v>26</v>
      </c>
      <c r="G5" s="33">
        <f>TRUNC(4.799/2*((F5-36)^2+(F5-36+0)^2)-0)</f>
        <v>479</v>
      </c>
      <c r="H5" s="33">
        <f t="shared" si="0"/>
        <v>958</v>
      </c>
      <c r="I5" s="33">
        <f t="shared" si="1"/>
        <v>2046</v>
      </c>
      <c r="J5" s="34"/>
      <c r="K5" s="13" t="s">
        <v>15</v>
      </c>
      <c r="L5" s="55" t="s">
        <v>158</v>
      </c>
      <c r="M5" s="36">
        <v>29.5</v>
      </c>
      <c r="N5" s="31">
        <f>TRUNC(1.2685/2*((M5-53)^2+(M5-53+0)^2)-0)</f>
        <v>700</v>
      </c>
      <c r="O5" s="47" t="s">
        <v>140</v>
      </c>
      <c r="P5" s="36">
        <v>30</v>
      </c>
      <c r="Q5" s="33">
        <f>TRUNC(1.2685/2*((P5-53)^2+(P5-53+0)^2)-0)</f>
        <v>671</v>
      </c>
      <c r="R5" s="37">
        <f t="shared" si="2"/>
        <v>1371</v>
      </c>
      <c r="S5" s="33">
        <f t="shared" si="3"/>
        <v>2685</v>
      </c>
    </row>
    <row r="6" spans="1:19" s="2" customFormat="1" ht="39" customHeight="1" x14ac:dyDescent="0.2">
      <c r="A6" s="13" t="s">
        <v>17</v>
      </c>
      <c r="B6" s="46" t="s">
        <v>128</v>
      </c>
      <c r="C6" s="35">
        <v>55</v>
      </c>
      <c r="D6" s="31">
        <f>TRUNC(0.8582/2*((C6-82)^2+(C6-82+0)^2)-0)</f>
        <v>625</v>
      </c>
      <c r="E6" s="44" t="s">
        <v>129</v>
      </c>
      <c r="F6" s="36">
        <v>56</v>
      </c>
      <c r="G6" s="33">
        <f>TRUNC(0.8582/2*((F6-82)^2+(F6-82+0)^2)-0)</f>
        <v>580</v>
      </c>
      <c r="H6" s="33">
        <f t="shared" si="0"/>
        <v>1205</v>
      </c>
      <c r="I6" s="33">
        <f t="shared" si="1"/>
        <v>3251</v>
      </c>
      <c r="J6" s="34"/>
      <c r="K6" s="13" t="s">
        <v>17</v>
      </c>
      <c r="L6" s="50" t="s">
        <v>189</v>
      </c>
      <c r="M6" s="35">
        <v>68</v>
      </c>
      <c r="N6" s="31">
        <f>TRUNC(0.2453/2*((M6-120)^2+(M6-120+0)^2)-0)</f>
        <v>663</v>
      </c>
      <c r="O6" s="51"/>
      <c r="P6" s="36">
        <v>70</v>
      </c>
      <c r="Q6" s="33">
        <f>TRUNC(0.2453/2*((P6-120)^2+(P6-120+0)^2)-0)</f>
        <v>613</v>
      </c>
      <c r="R6" s="37">
        <f t="shared" si="2"/>
        <v>1276</v>
      </c>
      <c r="S6" s="33">
        <f t="shared" si="3"/>
        <v>3961</v>
      </c>
    </row>
    <row r="7" spans="1:19" s="2" customFormat="1" ht="39" customHeight="1" x14ac:dyDescent="0.2">
      <c r="A7" s="13" t="s">
        <v>21</v>
      </c>
      <c r="B7" s="51" t="s">
        <v>177</v>
      </c>
      <c r="C7" s="35">
        <v>2.15</v>
      </c>
      <c r="D7" s="31">
        <f>TRUNC(0.18778*(100*(C7-TRUNC(C7))+TRUNC(C7)*60-184)^2)</f>
        <v>450</v>
      </c>
      <c r="E7" s="53" t="s">
        <v>178</v>
      </c>
      <c r="F7" s="36">
        <v>2.2000000000000002</v>
      </c>
      <c r="G7" s="33">
        <f>TRUNC(0.18778*(100*(F7-TRUNC(F7))+TRUNC(F7)*60-184)^2)</f>
        <v>363</v>
      </c>
      <c r="H7" s="33">
        <f t="shared" si="0"/>
        <v>813</v>
      </c>
      <c r="I7" s="33">
        <f t="shared" si="1"/>
        <v>4064</v>
      </c>
      <c r="J7" s="34"/>
      <c r="K7" s="13" t="s">
        <v>21</v>
      </c>
      <c r="L7" s="52"/>
      <c r="M7" s="35">
        <v>2.5</v>
      </c>
      <c r="N7" s="31">
        <f>TRUNC(0.06826*(100*(M7-TRUNC(M7))+TRUNC(M7)*60-250)^2)</f>
        <v>436</v>
      </c>
      <c r="O7" s="51"/>
      <c r="P7" s="35">
        <v>2.5499999999999998</v>
      </c>
      <c r="Q7" s="33">
        <f>TRUNC(0.06826*(100*(P7-TRUNC(P7))+TRUNC(P7)*60-250)^2)</f>
        <v>383</v>
      </c>
      <c r="R7" s="37">
        <f t="shared" si="2"/>
        <v>819</v>
      </c>
      <c r="S7" s="33">
        <f t="shared" si="3"/>
        <v>4780</v>
      </c>
    </row>
    <row r="8" spans="1:19" s="2" customFormat="1" ht="39" customHeight="1" x14ac:dyDescent="0.2">
      <c r="A8" s="13" t="s">
        <v>24</v>
      </c>
      <c r="B8" s="51" t="s">
        <v>179</v>
      </c>
      <c r="C8" s="35">
        <v>4.4000000000000004</v>
      </c>
      <c r="D8" s="31">
        <f>TRUNC(0.04066*(100*(C8-TRUNC(C8))+TRUNC(C8)*60-385)^2)</f>
        <v>448</v>
      </c>
      <c r="E8" s="51" t="s">
        <v>180</v>
      </c>
      <c r="F8" s="36">
        <v>4.4000000000000004</v>
      </c>
      <c r="G8" s="33">
        <f>TRUNC(0.04066*(100*(F8-TRUNC(F8))+TRUNC(F8)*60-385)^2)</f>
        <v>448</v>
      </c>
      <c r="H8" s="33">
        <f>+G8+D8</f>
        <v>896</v>
      </c>
      <c r="I8" s="33">
        <f t="shared" si="1"/>
        <v>4960</v>
      </c>
      <c r="J8" s="34"/>
      <c r="K8" s="13" t="s">
        <v>24</v>
      </c>
      <c r="L8" s="44" t="s">
        <v>143</v>
      </c>
      <c r="M8" s="38">
        <v>5.45</v>
      </c>
      <c r="N8" s="31">
        <f>TRUNC(0.013457*(100*(M8-TRUNC(M8))+TRUNC(M8)*60-540)^2)</f>
        <v>511</v>
      </c>
      <c r="O8" s="48" t="s">
        <v>144</v>
      </c>
      <c r="P8" s="38">
        <v>6</v>
      </c>
      <c r="Q8" s="33">
        <f>TRUNC(0.013457*(100*(P8-TRUNC(P8))+TRUNC(P8)*60-540)^2)</f>
        <v>436</v>
      </c>
      <c r="R8" s="37">
        <f t="shared" si="2"/>
        <v>947</v>
      </c>
      <c r="S8" s="33">
        <f t="shared" si="3"/>
        <v>5727</v>
      </c>
    </row>
    <row r="9" spans="1:19" s="2" customFormat="1" ht="39" customHeight="1" x14ac:dyDescent="0.2">
      <c r="A9" s="13" t="s">
        <v>27</v>
      </c>
      <c r="B9" s="51" t="s">
        <v>181</v>
      </c>
      <c r="C9" s="35">
        <v>10.15</v>
      </c>
      <c r="D9" s="31">
        <f>TRUNC(0.008189*(100*(C9-TRUNC(C9))+TRUNC(C9)*60-840)^2)</f>
        <v>414</v>
      </c>
      <c r="E9" s="51" t="s">
        <v>182</v>
      </c>
      <c r="F9" s="36">
        <v>10.15</v>
      </c>
      <c r="G9" s="33">
        <f>TRUNC(0.008189*(100*(F9-TRUNC(F9))+TRUNC(F9)*60-840)^2)</f>
        <v>414</v>
      </c>
      <c r="H9" s="33">
        <f t="shared" si="0"/>
        <v>828</v>
      </c>
      <c r="I9" s="33">
        <f t="shared" si="1"/>
        <v>5788</v>
      </c>
      <c r="J9" s="34"/>
      <c r="K9" s="13" t="s">
        <v>27</v>
      </c>
      <c r="L9" s="51"/>
      <c r="M9" s="35">
        <v>12.45</v>
      </c>
      <c r="N9" s="31">
        <f>TRUNC(0.002568*(100*(M9-TRUNC(M9))+TRUNC(M9)*60-1200)^2)</f>
        <v>485</v>
      </c>
      <c r="O9" s="51"/>
      <c r="P9" s="36">
        <v>13</v>
      </c>
      <c r="Q9" s="33">
        <f>TRUNC(0.002568*(100*(P9-TRUNC(P9))+TRUNC(P9)*60-1200)^2)</f>
        <v>452</v>
      </c>
      <c r="R9" s="37">
        <f t="shared" si="2"/>
        <v>937</v>
      </c>
      <c r="S9" s="33">
        <f t="shared" si="3"/>
        <v>6664</v>
      </c>
    </row>
    <row r="10" spans="1:19" s="2" customFormat="1" ht="39" customHeight="1" x14ac:dyDescent="0.2">
      <c r="A10" s="13" t="s">
        <v>28</v>
      </c>
      <c r="B10" s="53"/>
      <c r="C10" s="35">
        <v>20</v>
      </c>
      <c r="D10" s="31">
        <f>TRUNC(5.58/2*((C10-28)^2+(C10-28+0)^2)-0)</f>
        <v>357</v>
      </c>
      <c r="E10" s="51"/>
      <c r="F10" s="35">
        <v>21</v>
      </c>
      <c r="G10" s="31">
        <f>TRUNC(5.58/2*((F10-28)^2+(F10-28+0)^2)-0)</f>
        <v>273</v>
      </c>
      <c r="H10" s="33">
        <f>+G10+D10</f>
        <v>630</v>
      </c>
      <c r="I10" s="33">
        <f t="shared" si="1"/>
        <v>6418</v>
      </c>
      <c r="J10" s="34"/>
      <c r="K10" s="13" t="s">
        <v>30</v>
      </c>
      <c r="L10" s="44" t="s">
        <v>145</v>
      </c>
      <c r="M10" s="35">
        <v>22</v>
      </c>
      <c r="N10" s="31">
        <f>TRUNC(3.4273/2*((M10-31.4)^2+(M10-31.4+0)^2)-0)</f>
        <v>302</v>
      </c>
      <c r="O10" s="44" t="s">
        <v>146</v>
      </c>
      <c r="P10" s="36">
        <v>22</v>
      </c>
      <c r="Q10" s="33">
        <f>TRUNC(3.4273/2*((P10-31.4)^2+(P10-31.4+0)^2)-0)</f>
        <v>302</v>
      </c>
      <c r="R10" s="37">
        <f t="shared" si="2"/>
        <v>604</v>
      </c>
      <c r="S10" s="33">
        <f t="shared" si="3"/>
        <v>7268</v>
      </c>
    </row>
    <row r="11" spans="1:19" s="2" customFormat="1" ht="39" customHeight="1" x14ac:dyDescent="0.2">
      <c r="A11" s="13" t="s">
        <v>32</v>
      </c>
      <c r="B11" s="44" t="s">
        <v>130</v>
      </c>
      <c r="C11" s="35">
        <v>65</v>
      </c>
      <c r="D11" s="31">
        <f>TRUNC(0.4192/2*((C11-102)^2+(C11-102+0)^2)-0)</f>
        <v>573</v>
      </c>
      <c r="E11" s="51"/>
      <c r="F11" s="36">
        <v>65</v>
      </c>
      <c r="G11" s="33">
        <f>TRUNC(0.4192/2*((F11-102)^2+(F11-102+0)^2)-0)</f>
        <v>573</v>
      </c>
      <c r="H11" s="33">
        <f t="shared" si="0"/>
        <v>1146</v>
      </c>
      <c r="I11" s="33">
        <f t="shared" si="1"/>
        <v>7564</v>
      </c>
      <c r="J11" s="34"/>
      <c r="K11" s="13" t="s">
        <v>32</v>
      </c>
      <c r="L11" s="44" t="s">
        <v>147</v>
      </c>
      <c r="M11" s="35">
        <v>78</v>
      </c>
      <c r="N11" s="39">
        <f>TRUNC(0.1637/2*((M11-140)^2+(M11-140+0)^2)-0)</f>
        <v>629</v>
      </c>
      <c r="O11" s="53"/>
      <c r="P11" s="36">
        <v>80</v>
      </c>
      <c r="Q11" s="40">
        <f>TRUNC(0.1637/2*((P11-140)^2+(P11-140+0)^2)-0)</f>
        <v>589</v>
      </c>
      <c r="R11" s="37">
        <f t="shared" si="2"/>
        <v>1218</v>
      </c>
      <c r="S11" s="33">
        <f t="shared" si="3"/>
        <v>8486</v>
      </c>
    </row>
    <row r="12" spans="1:19" s="2" customFormat="1" ht="39" customHeight="1" x14ac:dyDescent="0.2">
      <c r="A12" s="13" t="s">
        <v>36</v>
      </c>
      <c r="B12" s="44" t="s">
        <v>96</v>
      </c>
      <c r="C12" s="35">
        <v>12</v>
      </c>
      <c r="D12" s="31">
        <f>TRUNC(0.00376*((60*TRUNC(C12))+(100*(C12-TRUNC(C12)))-1060)^2)</f>
        <v>434</v>
      </c>
      <c r="E12" s="51" t="s">
        <v>185</v>
      </c>
      <c r="F12" s="36">
        <v>12</v>
      </c>
      <c r="G12" s="33">
        <f>TRUNC(0.00376*((60*TRUNC(F12))+(100*(F12-TRUNC(F12)))-1060)^2)</f>
        <v>434</v>
      </c>
      <c r="H12" s="33">
        <f t="shared" si="0"/>
        <v>868</v>
      </c>
      <c r="I12" s="33">
        <f t="shared" si="1"/>
        <v>8432</v>
      </c>
      <c r="J12" s="34"/>
      <c r="K12" s="13" t="s">
        <v>37</v>
      </c>
      <c r="L12" s="51"/>
      <c r="M12" s="35">
        <v>24</v>
      </c>
      <c r="N12" s="31">
        <f>TRUNC(0.0006648*((60*TRUNC(M12))+(100*(M12-TRUNC(M12)))-2073)^2)</f>
        <v>266</v>
      </c>
      <c r="O12" s="51"/>
      <c r="P12" s="36">
        <v>26</v>
      </c>
      <c r="Q12" s="33">
        <f>TRUNC(0.0006648*((60*TRUNC(P12))+(100*(P12-TRUNC(P12)))-2073)^2)</f>
        <v>174</v>
      </c>
      <c r="R12" s="37">
        <f t="shared" si="2"/>
        <v>440</v>
      </c>
      <c r="S12" s="33">
        <f t="shared" si="3"/>
        <v>8926</v>
      </c>
    </row>
    <row r="13" spans="1:19" s="2" customFormat="1" ht="39" customHeight="1" x14ac:dyDescent="0.2">
      <c r="A13" s="13" t="s">
        <v>38</v>
      </c>
      <c r="B13" s="53"/>
      <c r="C13" s="35">
        <v>32</v>
      </c>
      <c r="D13" s="31">
        <f>TRUNC(0.000212*(100*(C13-TRUNC(C13))+TRUNC(C13)*60-3470)^2)-1</f>
        <v>508</v>
      </c>
      <c r="E13" s="51"/>
      <c r="F13" s="36">
        <v>35</v>
      </c>
      <c r="G13" s="33">
        <f>TRUNC(0.000212*(100*(F13-TRUNC(F13))+TRUNC(F13)*60-3470)^2)-1</f>
        <v>396</v>
      </c>
      <c r="H13" s="33">
        <f t="shared" si="0"/>
        <v>904</v>
      </c>
      <c r="I13" s="33">
        <f t="shared" si="1"/>
        <v>9336</v>
      </c>
      <c r="J13" s="34"/>
      <c r="K13" s="13" t="s">
        <v>40</v>
      </c>
      <c r="L13" s="44" t="s">
        <v>145</v>
      </c>
      <c r="M13" s="36">
        <v>1.3</v>
      </c>
      <c r="N13" s="39">
        <f>TRUNC(49.489/2*((M13+9.2)^2+(M13+9.2+0.01)^2)-5000)</f>
        <v>461</v>
      </c>
      <c r="O13" s="44" t="s">
        <v>148</v>
      </c>
      <c r="P13" s="36">
        <v>1.1000000000000001</v>
      </c>
      <c r="Q13" s="37">
        <f>TRUNC(49.489/2*((P13+9.2)^2+(P13+9.2+0.01)^2)-5000)</f>
        <v>255</v>
      </c>
      <c r="R13" s="37">
        <f t="shared" si="2"/>
        <v>716</v>
      </c>
      <c r="S13" s="33">
        <f t="shared" si="3"/>
        <v>9642</v>
      </c>
    </row>
    <row r="14" spans="1:19" s="2" customFormat="1" ht="39" customHeight="1" x14ac:dyDescent="0.2">
      <c r="A14" s="13" t="s">
        <v>40</v>
      </c>
      <c r="B14" s="44" t="s">
        <v>130</v>
      </c>
      <c r="C14" s="35">
        <v>1.5</v>
      </c>
      <c r="D14" s="39">
        <f>TRUNC(39.4106/2*((C14+10.2)^2+(C14+10.2+0.01)^2)-5000)</f>
        <v>399</v>
      </c>
      <c r="E14" s="49" t="s">
        <v>93</v>
      </c>
      <c r="F14" s="36">
        <v>1.5</v>
      </c>
      <c r="G14" s="40">
        <f>TRUNC(39.4106/2*((F14+10.2)^2+(F14+10.2+0.01)^2)-5000)</f>
        <v>399</v>
      </c>
      <c r="H14" s="33">
        <f t="shared" si="0"/>
        <v>798</v>
      </c>
      <c r="I14" s="33">
        <f t="shared" si="1"/>
        <v>10134</v>
      </c>
      <c r="J14" s="34"/>
      <c r="K14" s="13" t="s">
        <v>42</v>
      </c>
      <c r="L14" s="44" t="s">
        <v>142</v>
      </c>
      <c r="M14" s="35">
        <v>4.3</v>
      </c>
      <c r="N14" s="39">
        <f>TRUNC(2.29455/2*((M14+45)^2+(M14+45+0.01)^2)-5000)</f>
        <v>578</v>
      </c>
      <c r="O14" s="47" t="s">
        <v>140</v>
      </c>
      <c r="P14" s="35">
        <v>4.2</v>
      </c>
      <c r="Q14" s="40">
        <f>TRUNC(2.29455/2*((P14+45)^2+(P14+45+0.01)^2)-5000)</f>
        <v>555</v>
      </c>
      <c r="R14" s="37">
        <f t="shared" si="2"/>
        <v>1133</v>
      </c>
      <c r="S14" s="33">
        <f t="shared" si="3"/>
        <v>10775</v>
      </c>
    </row>
    <row r="15" spans="1:19" s="2" customFormat="1" ht="39" customHeight="1" x14ac:dyDescent="0.2">
      <c r="A15" s="13" t="s">
        <v>42</v>
      </c>
      <c r="B15" s="44" t="s">
        <v>124</v>
      </c>
      <c r="C15" s="36">
        <v>5.5</v>
      </c>
      <c r="D15" s="31">
        <f>TRUNC(1.82116/2*((C15+50)^2+(C15+50+0.01)^2)-5000)</f>
        <v>610</v>
      </c>
      <c r="E15" s="44" t="s">
        <v>127</v>
      </c>
      <c r="F15" s="36">
        <v>5.25</v>
      </c>
      <c r="G15" s="33">
        <f>TRUNC(1.82116/2*((F15+50)^2+(F15+50+0.01)^2)-5000)</f>
        <v>560</v>
      </c>
      <c r="H15" s="33">
        <f t="shared" si="0"/>
        <v>1170</v>
      </c>
      <c r="I15" s="33">
        <f t="shared" si="1"/>
        <v>11304</v>
      </c>
      <c r="J15" s="34"/>
      <c r="K15" s="13" t="s">
        <v>43</v>
      </c>
      <c r="L15" s="44"/>
      <c r="M15" s="41">
        <v>8</v>
      </c>
      <c r="N15" s="31">
        <f>TRUNC(0.5438/2*((M15+92)^2+(M15+92+0.01)^2)-5000)</f>
        <v>438</v>
      </c>
      <c r="O15" s="51"/>
      <c r="P15" s="42">
        <v>8</v>
      </c>
      <c r="Q15" s="33">
        <f>TRUNC(0.5438/2*((P15+92)^2+(P15+92+0.01)^2)-5000)</f>
        <v>438</v>
      </c>
      <c r="R15" s="37">
        <f t="shared" si="2"/>
        <v>876</v>
      </c>
      <c r="S15" s="33">
        <f t="shared" si="3"/>
        <v>11651</v>
      </c>
    </row>
    <row r="16" spans="1:19" s="2" customFormat="1" ht="39" customHeight="1" x14ac:dyDescent="0.2">
      <c r="A16" s="13" t="s">
        <v>43</v>
      </c>
      <c r="B16" s="46" t="s">
        <v>131</v>
      </c>
      <c r="C16" s="35">
        <v>11.5</v>
      </c>
      <c r="D16" s="31">
        <f>TRUNC(0.47301/2*((C16+97)^2+(C16+97+0.01)^2)-5000)</f>
        <v>568</v>
      </c>
      <c r="E16" s="53"/>
      <c r="F16" s="42">
        <v>11.5</v>
      </c>
      <c r="G16" s="33">
        <f>TRUNC(0.47301/2*((F16+97)^2+(F16+97+0.01)^2)-5000)</f>
        <v>568</v>
      </c>
      <c r="H16" s="33">
        <f t="shared" si="0"/>
        <v>1136</v>
      </c>
      <c r="I16" s="33">
        <f t="shared" si="1"/>
        <v>12440</v>
      </c>
      <c r="J16" s="34"/>
      <c r="K16" s="13" t="s">
        <v>44</v>
      </c>
      <c r="L16" s="51"/>
      <c r="M16" s="35">
        <v>1.4</v>
      </c>
      <c r="N16" s="31">
        <f>TRUNC(5.3339/2*((M16+29.5)^2+(M16+29.5+0.01)^2)-5000)</f>
        <v>94</v>
      </c>
      <c r="O16" s="53"/>
      <c r="P16" s="36">
        <v>1.4</v>
      </c>
      <c r="Q16" s="33">
        <f>TRUNC(5.3339/2*((P16+29.5)^2+(P16+29.5+0.01)^2)-5000)</f>
        <v>94</v>
      </c>
      <c r="R16" s="37">
        <f t="shared" si="2"/>
        <v>188</v>
      </c>
      <c r="S16" s="33">
        <f t="shared" si="3"/>
        <v>11839</v>
      </c>
    </row>
    <row r="17" spans="1:19" s="2" customFormat="1" ht="39" customHeight="1" x14ac:dyDescent="0.2">
      <c r="A17" s="13" t="s">
        <v>44</v>
      </c>
      <c r="B17" s="46" t="s">
        <v>132</v>
      </c>
      <c r="C17" s="35">
        <v>3</v>
      </c>
      <c r="D17" s="31">
        <f>TRUNC(3.3771/2*((C17+37)^2+(C17+37+0.01)^2)-5000)</f>
        <v>404</v>
      </c>
      <c r="E17" s="46" t="s">
        <v>135</v>
      </c>
      <c r="F17" s="35">
        <v>2.5</v>
      </c>
      <c r="G17" s="33">
        <f>TRUNC(3.3771/2*((F17+37)^2+(F17+37+0.01)^2)-5000)</f>
        <v>270</v>
      </c>
      <c r="H17" s="33">
        <f t="shared" si="0"/>
        <v>674</v>
      </c>
      <c r="I17" s="33">
        <f t="shared" si="1"/>
        <v>13114</v>
      </c>
      <c r="J17" s="34"/>
      <c r="K17" s="13" t="s">
        <v>46</v>
      </c>
      <c r="L17" s="44" t="s">
        <v>147</v>
      </c>
      <c r="M17" s="35">
        <v>6.5</v>
      </c>
      <c r="N17" s="31">
        <f>TRUNC(0.04631/2*((M17+656)^2+(M17+656+0.01)^2)-20000)</f>
        <v>326</v>
      </c>
      <c r="O17" s="55" t="s">
        <v>187</v>
      </c>
      <c r="P17" s="36">
        <v>7</v>
      </c>
      <c r="Q17" s="33">
        <f>TRUNC(0.04631/2*((P17+656)^2+(P17+656+0.01)^2)-20000)</f>
        <v>356</v>
      </c>
      <c r="R17" s="37">
        <f t="shared" si="2"/>
        <v>682</v>
      </c>
      <c r="S17" s="33">
        <f t="shared" si="3"/>
        <v>12521</v>
      </c>
    </row>
    <row r="18" spans="1:19" s="2" customFormat="1" ht="39" customHeight="1" x14ac:dyDescent="0.2">
      <c r="A18" s="13" t="s">
        <v>46</v>
      </c>
      <c r="B18" s="49" t="s">
        <v>134</v>
      </c>
      <c r="C18" s="35">
        <v>9</v>
      </c>
      <c r="D18" s="31">
        <f>TRUNC(0.04298/2*((C18+681)^2+(C18+681+0.01)^2)-20000)</f>
        <v>463</v>
      </c>
      <c r="E18" s="46" t="s">
        <v>131</v>
      </c>
      <c r="F18" s="35">
        <v>8.5</v>
      </c>
      <c r="G18" s="33">
        <f>TRUNC(0.04298/2*((F18+681)^2+(F18+681+0.01)^2)-20000)</f>
        <v>433</v>
      </c>
      <c r="H18" s="33">
        <f t="shared" si="0"/>
        <v>896</v>
      </c>
      <c r="I18" s="33">
        <f t="shared" si="1"/>
        <v>14010</v>
      </c>
      <c r="J18" s="34"/>
      <c r="K18" s="13" t="s">
        <v>49</v>
      </c>
      <c r="L18" s="44" t="s">
        <v>150</v>
      </c>
      <c r="M18" s="35">
        <v>22</v>
      </c>
      <c r="N18" s="31">
        <f>TRUNC(0.004156/2*((M18+2190)^2+(M18+2190+0.01)^2)-20000)</f>
        <v>335</v>
      </c>
      <c r="O18" s="48" t="s">
        <v>188</v>
      </c>
      <c r="P18" s="36">
        <v>22</v>
      </c>
      <c r="Q18" s="33">
        <f>TRUNC(0.004156/2*((P18+2190)^2+(P18+2190+0.01)^2)-20000)</f>
        <v>335</v>
      </c>
      <c r="R18" s="37">
        <f t="shared" si="2"/>
        <v>670</v>
      </c>
      <c r="S18" s="33">
        <f t="shared" si="3"/>
        <v>13191</v>
      </c>
    </row>
    <row r="19" spans="1:19" s="2" customFormat="1" ht="39" customHeight="1" x14ac:dyDescent="0.2">
      <c r="A19" s="13" t="s">
        <v>49</v>
      </c>
      <c r="B19" s="46" t="s">
        <v>132</v>
      </c>
      <c r="C19" s="35">
        <v>26</v>
      </c>
      <c r="D19" s="31">
        <f>TRUNC(0.004233/2*((C19+2170)^2+(C19+2170+0.01)^2)-20000)</f>
        <v>413</v>
      </c>
      <c r="E19" s="46" t="s">
        <v>133</v>
      </c>
      <c r="F19" s="36">
        <v>24</v>
      </c>
      <c r="G19" s="33">
        <f>TRUNC(0.004233/2*((F19+2170)^2+(F19+2170+0.01)^2)-20000)</f>
        <v>376</v>
      </c>
      <c r="H19" s="33">
        <f t="shared" si="0"/>
        <v>789</v>
      </c>
      <c r="I19" s="33">
        <f t="shared" si="1"/>
        <v>14799</v>
      </c>
      <c r="J19" s="34"/>
      <c r="K19" s="13" t="s">
        <v>52</v>
      </c>
      <c r="L19" s="51"/>
      <c r="M19" s="35">
        <v>25</v>
      </c>
      <c r="N19" s="39">
        <f>TRUNC(0.004195/2*((M19+2180)^2+(M19+2180+0.01)^2)-20000)</f>
        <v>396</v>
      </c>
      <c r="O19" s="51"/>
      <c r="P19" s="36">
        <v>20</v>
      </c>
      <c r="Q19" s="40">
        <f>TRUNC(0.004195/2*((P19+2180)^2+(P19+2180+0.01)^2)-20000)</f>
        <v>303</v>
      </c>
      <c r="R19" s="37">
        <f t="shared" si="2"/>
        <v>699</v>
      </c>
      <c r="S19" s="33">
        <f t="shared" si="3"/>
        <v>13890</v>
      </c>
    </row>
    <row r="20" spans="1:19" s="2" customFormat="1" ht="39" customHeight="1" x14ac:dyDescent="0.2">
      <c r="A20" s="13" t="s">
        <v>52</v>
      </c>
      <c r="B20" s="49" t="s">
        <v>136</v>
      </c>
      <c r="C20" s="35">
        <v>40</v>
      </c>
      <c r="D20" s="31">
        <f>TRUNC(0.002454/2*((C20+2850)^2+(C20+2850+0.01)^2)-20000)</f>
        <v>496</v>
      </c>
      <c r="E20" s="49" t="s">
        <v>98</v>
      </c>
      <c r="F20" s="35">
        <v>35</v>
      </c>
      <c r="G20" s="33">
        <f>TRUNC(0.002454/2*((F20+2850)^2+(F20+2850+0.01)^2)-20000)</f>
        <v>425</v>
      </c>
      <c r="H20" s="33">
        <f t="shared" si="0"/>
        <v>921</v>
      </c>
      <c r="I20" s="33">
        <f t="shared" si="1"/>
        <v>15720</v>
      </c>
      <c r="J20" s="34"/>
      <c r="K20" s="13" t="s">
        <v>53</v>
      </c>
      <c r="L20" s="53"/>
      <c r="M20" s="35">
        <v>20</v>
      </c>
      <c r="N20" s="39">
        <f>TRUNC(0.00364/2*((M20+2340)^2+(M20+2340+0.01)^2)-20000)</f>
        <v>273</v>
      </c>
      <c r="O20" s="51"/>
      <c r="P20" s="36">
        <v>18</v>
      </c>
      <c r="Q20" s="40">
        <f>TRUNC(0.00364/2*((P20+2340)^2+(P20+2340+0.01)^2)-20000)</f>
        <v>239</v>
      </c>
      <c r="R20" s="37">
        <f t="shared" si="2"/>
        <v>512</v>
      </c>
      <c r="S20" s="33">
        <f t="shared" si="3"/>
        <v>14402</v>
      </c>
    </row>
    <row r="21" spans="1:19" s="2" customFormat="1" ht="39" customHeight="1" x14ac:dyDescent="0.2">
      <c r="A21" s="13" t="s">
        <v>53</v>
      </c>
      <c r="B21" s="46" t="s">
        <v>137</v>
      </c>
      <c r="C21" s="36">
        <v>25</v>
      </c>
      <c r="D21" s="31">
        <f>TRUNC(0.0029488/2*((C21+2600)^2+(C21+2600+0.01)^2)-20000)</f>
        <v>319</v>
      </c>
      <c r="E21" s="54"/>
      <c r="F21" s="36">
        <v>20</v>
      </c>
      <c r="G21" s="33">
        <f>TRUNC(0.0029488/2*((F21+2600)^2+(F21+2600+0.01)^2)-20000)</f>
        <v>241</v>
      </c>
      <c r="H21" s="33">
        <f t="shared" si="0"/>
        <v>560</v>
      </c>
      <c r="I21" s="33">
        <f t="shared" si="1"/>
        <v>16280</v>
      </c>
      <c r="J21" s="34"/>
      <c r="K21" s="13" t="s">
        <v>56</v>
      </c>
      <c r="L21" s="43" t="s">
        <v>57</v>
      </c>
      <c r="M21" s="35">
        <v>51</v>
      </c>
      <c r="N21" s="31">
        <f>TRUNC(0.3954/2*((M21-98)^2+(M21-98+0)^2)-0)</f>
        <v>873</v>
      </c>
      <c r="O21" s="43" t="s">
        <v>58</v>
      </c>
      <c r="P21" s="36">
        <v>4.1026999999999996</v>
      </c>
      <c r="Q21" s="33">
        <f>TRUNC(0.01562*(100*(P21-TRUNC(P21))+TRUNC(P21)*60-480)^2)</f>
        <v>824</v>
      </c>
      <c r="R21" s="37">
        <f t="shared" si="2"/>
        <v>1697</v>
      </c>
      <c r="S21" s="33">
        <f t="shared" si="3"/>
        <v>16099</v>
      </c>
    </row>
    <row r="22" spans="1:19" s="2" customFormat="1" ht="39" customHeight="1" x14ac:dyDescent="0.2">
      <c r="A22" s="13" t="s">
        <v>56</v>
      </c>
      <c r="B22" s="43" t="s">
        <v>183</v>
      </c>
      <c r="C22" s="41">
        <v>44.56</v>
      </c>
      <c r="D22" s="31">
        <f>TRUNC(1.2019/2*((C22-70)^2+(C22-70+0)^2)-0)</f>
        <v>777</v>
      </c>
      <c r="E22" s="44" t="s">
        <v>184</v>
      </c>
      <c r="F22" s="36">
        <v>3.3220999999999998</v>
      </c>
      <c r="G22" s="33">
        <f>TRUNC(0.05404*(100*(F22-TRUNC(F22))+TRUNC(F22)*60-328)^2)</f>
        <v>724</v>
      </c>
      <c r="H22" s="33">
        <f t="shared" si="0"/>
        <v>1501</v>
      </c>
      <c r="I22" s="33">
        <f t="shared" si="1"/>
        <v>17781</v>
      </c>
      <c r="J22" s="45"/>
      <c r="K22" s="5"/>
      <c r="L22" s="5"/>
      <c r="M22" s="5"/>
      <c r="N22" s="5"/>
      <c r="O22" s="6"/>
      <c r="P22" s="5"/>
      <c r="Q22" s="5"/>
      <c r="R22" s="6" t="s">
        <v>59</v>
      </c>
      <c r="S22" s="33">
        <f>+I22+S21</f>
        <v>33880</v>
      </c>
    </row>
    <row r="24" spans="1:19" ht="15.75" x14ac:dyDescent="0.25">
      <c r="B24" s="44" t="s">
        <v>167</v>
      </c>
      <c r="C24" s="61" t="s">
        <v>82</v>
      </c>
      <c r="D24" s="62"/>
      <c r="E24" s="63"/>
      <c r="L24" s="44" t="s">
        <v>151</v>
      </c>
      <c r="M24" s="61" t="s">
        <v>162</v>
      </c>
      <c r="N24" s="62"/>
      <c r="O24" s="63"/>
    </row>
    <row r="25" spans="1:19" ht="15.75" x14ac:dyDescent="0.25">
      <c r="B25" s="44" t="s">
        <v>168</v>
      </c>
      <c r="C25" s="61" t="s">
        <v>82</v>
      </c>
      <c r="D25" s="62"/>
      <c r="E25" s="63"/>
      <c r="L25" s="44" t="s">
        <v>152</v>
      </c>
      <c r="M25" s="61" t="s">
        <v>162</v>
      </c>
      <c r="N25" s="62"/>
      <c r="O25" s="63"/>
    </row>
    <row r="26" spans="1:19" ht="15.75" x14ac:dyDescent="0.25">
      <c r="B26" s="44" t="s">
        <v>169</v>
      </c>
      <c r="C26" s="61" t="s">
        <v>170</v>
      </c>
      <c r="D26" s="62"/>
      <c r="E26" s="63"/>
      <c r="L26" s="44" t="s">
        <v>154</v>
      </c>
      <c r="M26" s="61" t="s">
        <v>162</v>
      </c>
      <c r="N26" s="62"/>
      <c r="O26" s="63"/>
    </row>
    <row r="27" spans="1:19" ht="15.75" x14ac:dyDescent="0.25">
      <c r="B27" s="44"/>
      <c r="C27" s="61"/>
      <c r="D27" s="62"/>
      <c r="E27" s="63"/>
      <c r="L27" s="44" t="s">
        <v>155</v>
      </c>
      <c r="M27" s="61" t="s">
        <v>156</v>
      </c>
      <c r="N27" s="62"/>
      <c r="O27" s="63"/>
    </row>
    <row r="28" spans="1:19" ht="15.75" x14ac:dyDescent="0.25">
      <c r="B28" s="44"/>
      <c r="C28" s="61"/>
      <c r="D28" s="62"/>
      <c r="E28" s="63"/>
      <c r="L28" s="44" t="s">
        <v>165</v>
      </c>
      <c r="M28" s="61" t="s">
        <v>166</v>
      </c>
      <c r="N28" s="62"/>
      <c r="O28" s="63"/>
    </row>
  </sheetData>
  <mergeCells count="13">
    <mergeCell ref="A1:S1"/>
    <mergeCell ref="A2:I2"/>
    <mergeCell ref="K2:S2"/>
    <mergeCell ref="M27:O27"/>
    <mergeCell ref="M24:O24"/>
    <mergeCell ref="M25:O25"/>
    <mergeCell ref="M26:O26"/>
    <mergeCell ref="M28:O28"/>
    <mergeCell ref="C24:E24"/>
    <mergeCell ref="C25:E25"/>
    <mergeCell ref="C26:E26"/>
    <mergeCell ref="C27:E27"/>
    <mergeCell ref="C28:E28"/>
  </mergeCells>
  <printOptions horizontalCentered="1" verticalCentered="1" gridLinesSet="0"/>
  <pageMargins left="0" right="0" top="0" bottom="0.19685039370078741" header="0" footer="0"/>
  <pageSetup paperSize="9" scale="58" orientation="landscape" horizontalDpi="300" verticalDpi="300" r:id="rId1"/>
  <headerFooter alignWithMargins="0">
    <oddFooter>&amp;C&amp;F    &amp;A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2018 1er T equipe 1 </vt:lpstr>
      <vt:lpstr>2018 1er T equipe 2</vt:lpstr>
      <vt:lpstr>'2018 1er T equipe 1 '!Zone_d_impression</vt:lpstr>
      <vt:lpstr>'2018 1er T equipe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</dc:creator>
  <cp:lastModifiedBy>direction</cp:lastModifiedBy>
  <cp:lastPrinted>2018-04-16T21:07:12Z</cp:lastPrinted>
  <dcterms:created xsi:type="dcterms:W3CDTF">2018-02-01T20:01:47Z</dcterms:created>
  <dcterms:modified xsi:type="dcterms:W3CDTF">2018-04-26T05:56:19Z</dcterms:modified>
</cp:coreProperties>
</file>